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65" windowHeight="3600" firstSheet="8" activeTab="12"/>
  </bookViews>
  <sheets>
    <sheet name="งบทดลอง" sheetId="1" r:id="rId1"/>
    <sheet name="ลูกหนี้เงินกู้" sheetId="2" r:id="rId2"/>
    <sheet name="รายละเอียด" sheetId="3" r:id="rId3"/>
    <sheet name="ค่าปรับ " sheetId="4" r:id="rId4"/>
    <sheet name="ดอกเบี้ย" sheetId="5" r:id="rId5"/>
    <sheet name="งบเงินรับ-จ่าย" sheetId="6" r:id="rId6"/>
    <sheet name="รายละเอียดรายได้" sheetId="7" r:id="rId7"/>
    <sheet name="รายงานกระแสเงินสด" sheetId="8" r:id="rId8"/>
    <sheet name="กระทบยอดเงินฝาก ธ.กรุงไทย" sheetId="9" r:id="rId9"/>
    <sheet name="กระทบยอดเงินฝากธ ธกส" sheetId="10" r:id="rId10"/>
    <sheet name="คงเหลือ" sheetId="11" r:id="rId11"/>
    <sheet name="โอนลดโอนเพิ่ม" sheetId="12" r:id="rId12"/>
    <sheet name="เงินสะสม" sheetId="13" r:id="rId13"/>
    <sheet name="จ่ายจากรายรับ" sheetId="14" r:id="rId14"/>
    <sheet name="Sheet1" sheetId="15" r:id="rId15"/>
  </sheets>
  <definedNames>
    <definedName name="_xlnm.Print_Area" localSheetId="0">'งบทดลอง'!$A$1:$D$74</definedName>
    <definedName name="_xlnm.Print_Area" localSheetId="1">'ลูกหนี้เงินกู้'!$A$1:$E$34</definedName>
  </definedNames>
  <calcPr fullCalcOnLoad="1"/>
</workbook>
</file>

<file path=xl/sharedStrings.xml><?xml version="1.0" encoding="utf-8"?>
<sst xmlns="http://schemas.openxmlformats.org/spreadsheetml/2006/main" count="1431" uniqueCount="589">
  <si>
    <t>องค์การบริหารส่วนตำบลละลมใหม่พัฒนา  อำเภอโชคชัย  จังหวัดนครราชสีมา</t>
  </si>
  <si>
    <t>งบทดลอง</t>
  </si>
  <si>
    <t>ชื่อบัญชี</t>
  </si>
  <si>
    <t>รหัสบัญชี</t>
  </si>
  <si>
    <t>เดบิต</t>
  </si>
  <si>
    <t>เครดิต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</si>
  <si>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</si>
  <si>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</si>
  <si>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</si>
  <si>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</si>
  <si>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</si>
  <si>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รายรับ</t>
  </si>
  <si>
    <t>เรียน  นายกองค์การบริหารส่วนตำบลละลมใหม่พัฒนา</t>
  </si>
  <si>
    <t xml:space="preserve"> -  เพื่อโปรดทราบ</t>
  </si>
  <si>
    <t>ทราบ</t>
  </si>
  <si>
    <t>นายกองค์การบริหารส่วนตำบลละลมใหม่พัฒนา</t>
  </si>
  <si>
    <t>(  นางพัฒนา               เหมือนจิตต์ )                                           ( นายสนธยา               ภักดีกิจ )</t>
  </si>
  <si>
    <t>เงินมัดจำประกันสัญญา</t>
  </si>
  <si>
    <t>เงินส่วนลด 6%</t>
  </si>
  <si>
    <t>รวม</t>
  </si>
  <si>
    <t>รายงาน รับ - จ่าย  เงินสด</t>
  </si>
  <si>
    <t>จนถึงปัจจุบัน</t>
  </si>
  <si>
    <t>ประมาณการ</t>
  </si>
  <si>
    <t>เกิดขึ้นจริง</t>
  </si>
  <si>
    <t>รายการ</t>
  </si>
  <si>
    <t>รหัส</t>
  </si>
  <si>
    <t>บัญชี</t>
  </si>
  <si>
    <t>เดือนนี้</t>
  </si>
  <si>
    <t>(บาท)</t>
  </si>
  <si>
    <t>ยอดยกมา</t>
  </si>
  <si>
    <t>รวมรายรับ</t>
  </si>
  <si>
    <t>งบกลาง</t>
  </si>
  <si>
    <t>เงินอุดหนุน</t>
  </si>
  <si>
    <t>รายจ่าย</t>
  </si>
  <si>
    <t xml:space="preserve">อำเภอโชคชัย  จังหวัดนครราชสีมา      </t>
  </si>
  <si>
    <t xml:space="preserve"> -2-</t>
  </si>
  <si>
    <t>รวมเดือนนี้</t>
  </si>
  <si>
    <t>รวมตั้งแต่ต้นปี</t>
  </si>
  <si>
    <t>รายได้จัดเก็บเอง</t>
  </si>
  <si>
    <t>หมวดภาษีอากร</t>
  </si>
  <si>
    <t>1.  ภาษีโรงเรือนและที่ดิน</t>
  </si>
  <si>
    <t>2.  ภาษีบำรุงท้องที่</t>
  </si>
  <si>
    <t>หมวดค่าธรรมเนียม ค่าปรับ และใบอนุญาต</t>
  </si>
  <si>
    <t>1.  ค่าธรรมเนียมเกี่ยวกับการควบคุมอาคาร</t>
  </si>
  <si>
    <t>หมวดรายได้จากทรัพย์สิน</t>
  </si>
  <si>
    <t>1.  ดอกเบี้ยเงินฝากธนาคาร</t>
  </si>
  <si>
    <t>หมวดรายได้เบ็ดเตล็ด</t>
  </si>
  <si>
    <t>1.  ค่าขายแบบแปลน</t>
  </si>
  <si>
    <t>หมวดภาษีจัดสรร</t>
  </si>
  <si>
    <t>3.  ภาษีธุรกิจเฉพาะ</t>
  </si>
  <si>
    <t>4.  ภาษีสุรา</t>
  </si>
  <si>
    <t>5.  ภาษีสรรพสามิต</t>
  </si>
  <si>
    <t>รวมรายรับทั้งสิ้น</t>
  </si>
  <si>
    <t>หน้า  2</t>
  </si>
  <si>
    <t>ค่าครุภัณฑ์</t>
  </si>
  <si>
    <t>ค่าที่ดินและสิ่งก่อสร้าง</t>
  </si>
  <si>
    <t>3. ภาษีป้าย</t>
  </si>
  <si>
    <t>อบต.ละลมใหม่พัฒนา</t>
  </si>
  <si>
    <t>รายงานกระแสเงินสด</t>
  </si>
  <si>
    <t>ตั้งแต่ต้นปีถึงปัจจุบัน</t>
  </si>
  <si>
    <t xml:space="preserve">           รับเงินรับฝาก</t>
  </si>
  <si>
    <t xml:space="preserve">           จ่ายเงินรับฝาก</t>
  </si>
  <si>
    <t>รับสูง  หรือ  (ต่ำ)  กว่าจ่าย</t>
  </si>
  <si>
    <t>(  นางพัฒนา    เหมือนจิตต์ )                                                        ( นายสนธยา    ภักดีกิจ )</t>
  </si>
  <si>
    <t>องค์การบริหารส่วนตำบลละลมใหม่พัฒนา</t>
  </si>
  <si>
    <t>ธนาคาร  ธกส.  (ออมทรัพย์)  สาขาโชคชัย</t>
  </si>
  <si>
    <t>งบกระทบยอดเงินฝากธนาคาร</t>
  </si>
  <si>
    <r>
      <t>หัก</t>
    </r>
    <r>
      <rPr>
        <b/>
        <sz val="16"/>
        <rFont val="Angsana New"/>
        <family val="1"/>
      </rPr>
      <t xml:space="preserve">  เช็คจ่ายที่ผู้รับเงินยังไม่นำมาขึ้นเงินกับธนาคาร</t>
    </r>
  </si>
  <si>
    <t>ว/ด/ป</t>
  </si>
  <si>
    <t>เลขที่เช็ค</t>
  </si>
  <si>
    <t>จำนวนเงิน</t>
  </si>
  <si>
    <t>ผู้จัดทำ</t>
  </si>
  <si>
    <t>ผู้ตรวจสอบ</t>
  </si>
  <si>
    <t>เงินฝาก ธกส.สาขาโชคชัย (ออมทรัพย์) เลขที่ 01-721-2-49173-3</t>
  </si>
  <si>
    <t>เงินฝาก ธกส.สาขาโชคชัย (ออมทรัพย์) เลขที่ 01- 721-2-63080-6</t>
  </si>
  <si>
    <t>เงินฝาก ธกส.สาขาโชคชัย (ประจำ) เลขที่ 30-721-4-12488-3</t>
  </si>
  <si>
    <t>เงินทุนโครงการเศรษฐกิจชุมชน</t>
  </si>
  <si>
    <t>หมวดรายได้จากทุน</t>
  </si>
  <si>
    <t>3. ค่าธรรมเนียมจดทะเบียนพาณิชย์</t>
  </si>
  <si>
    <t>2. ค่ารับรองสำเนาและถ่ายเอกสาร</t>
  </si>
  <si>
    <t>3. รายได้เบ็ดเตล็ดอื่น ๆ</t>
  </si>
  <si>
    <t>1. ค่าขายทอดตลาดทรัพย์สิน</t>
  </si>
  <si>
    <t>รายได้ที่รัฐบาลเก็บแล้วจัดสรรให้องค์กรปกครองส่วนท้องถิ่น</t>
  </si>
  <si>
    <t>2. ภาษีมูลค่าเพิ่ม 1 ใน 9</t>
  </si>
  <si>
    <t>6.  ค่าภาคหลวงแร่</t>
  </si>
  <si>
    <t>7.  ค่าภาคหลวงปิโตรเลียม</t>
  </si>
  <si>
    <t>รายได้ที่รัฐบาลอุดหนุนให้องค์กรปกครองส่วนท้องถิ่น</t>
  </si>
  <si>
    <t>1.  เงินอุดหนุนทั่วไปสำหรับดำเนินการตามอำนาจหน้าที่และภาระกิจ</t>
  </si>
  <si>
    <t xml:space="preserve">     ถ่ายโอนเลือกทำ</t>
  </si>
  <si>
    <t xml:space="preserve">              ผู้อำนวยการกองคลัง</t>
  </si>
  <si>
    <t>เลขที่บัญชี 01- 721-2-49173-3</t>
  </si>
  <si>
    <t xml:space="preserve">         ผู้อำนวยการกองคลัง                                                         ปลัดองค์การบริหารส่วนตำบล</t>
  </si>
  <si>
    <t xml:space="preserve">          ผู้อำนวยการกองคลัง                                                         ปลัดองค์การบริหารส่วนตำบล</t>
  </si>
  <si>
    <t>เงินสด</t>
  </si>
  <si>
    <t>กระดาษทำการกระทบยอด</t>
  </si>
  <si>
    <t>00411</t>
  </si>
  <si>
    <t>00110</t>
  </si>
  <si>
    <t>00120</t>
  </si>
  <si>
    <t>00210</t>
  </si>
  <si>
    <t>00220</t>
  </si>
  <si>
    <t>00230</t>
  </si>
  <si>
    <t>00240</t>
  </si>
  <si>
    <t>00260</t>
  </si>
  <si>
    <t>00111</t>
  </si>
  <si>
    <t>00113</t>
  </si>
  <si>
    <t>00123</t>
  </si>
  <si>
    <t>00211</t>
  </si>
  <si>
    <t>00212</t>
  </si>
  <si>
    <t>00221</t>
  </si>
  <si>
    <t>00223</t>
  </si>
  <si>
    <t>00241</t>
  </si>
  <si>
    <t>00242</t>
  </si>
  <si>
    <t>00262</t>
  </si>
  <si>
    <t>00263</t>
  </si>
  <si>
    <t>00112</t>
  </si>
  <si>
    <t>00231</t>
  </si>
  <si>
    <t>00310</t>
  </si>
  <si>
    <t>00312</t>
  </si>
  <si>
    <t>แผนงาน / งาน</t>
  </si>
  <si>
    <t>หมวด / ประเภทรายจ่าย</t>
  </si>
  <si>
    <t>ลูกหนี้เงินยืมเงินสะสม</t>
  </si>
  <si>
    <t>( นายนำ         ปลอดกระโทก )</t>
  </si>
  <si>
    <t xml:space="preserve">                                       –  ทราบ</t>
  </si>
  <si>
    <t xml:space="preserve">     (  นางพัฒนา     เหมือนจิตต์ )                                                                     ( นายสนธยา         ภักดีกิจ )</t>
  </si>
  <si>
    <t xml:space="preserve">            ผู้อำนวยการกองคลัง                                                                        ปลัดองค์การบริหารส่วนตำบล</t>
  </si>
  <si>
    <t xml:space="preserve">           รับเงินรายรับ</t>
  </si>
  <si>
    <t xml:space="preserve">           จ่ายเงินรายจ่ายค้างจ่าย</t>
  </si>
  <si>
    <t>( นายนำ  ปลอดกระโทก )</t>
  </si>
  <si>
    <t xml:space="preserve">หมวดเงินอุดหนุนทั่วไป                    </t>
  </si>
  <si>
    <t>ภาษี หัก ณ ที่จ่าย</t>
  </si>
  <si>
    <t>เงินทุนสำรองเงินสะสม</t>
  </si>
  <si>
    <t>เงินรับฝาก(หมายเหตุ 2)</t>
  </si>
  <si>
    <t>6. ค่าปรับการผิดสัญญา</t>
  </si>
  <si>
    <t>7. ค่าใบอนุญาตรับทำการเก็บ ขน สิ่งปฏิกูล และขยะมูลฝอย</t>
  </si>
  <si>
    <t>9. ค่าใบอนุญาตจำหน่ายสินค้าในที่หรือทางสาธารณะ</t>
  </si>
  <si>
    <t>10. ค่าใบอนุญาตเกี่ยวกับการควบคุมอาคาร</t>
  </si>
  <si>
    <t>8.  ค่าธรรมเนียมจดทะเบียนสิทธิและนิติกรรมที่ดิน  กฎหมายที่ดิน</t>
  </si>
  <si>
    <t>เงินรับฝาก   (  หมายเหตุ   3  )</t>
  </si>
  <si>
    <t>สูง / ต่ำกว่า</t>
  </si>
  <si>
    <t>ลำดับที่</t>
  </si>
  <si>
    <t>วัน/เดือน/ ปี</t>
  </si>
  <si>
    <t>สัญญาเลขที่</t>
  </si>
  <si>
    <t>ชื่อกลุ่ม</t>
  </si>
  <si>
    <t>จำนวนเงินกู้</t>
  </si>
  <si>
    <t>ค่าปรับ</t>
  </si>
  <si>
    <t>10/2544</t>
  </si>
  <si>
    <t>12/2544</t>
  </si>
  <si>
    <t>กลุ่มเกษตรกรทำนาปี บ้านกุดจอกน้อย ม.6</t>
  </si>
  <si>
    <t>5/2546</t>
  </si>
  <si>
    <t>กลุ่มไร่นาสวนผสม บ้านคลองยาง ม.9</t>
  </si>
  <si>
    <t>6/2546</t>
  </si>
  <si>
    <t>กลุ่มร้านค้าชุมชนในหมู่บ้าน บ้านกุดจอกน้อย ม.6</t>
  </si>
  <si>
    <t>2/2547</t>
  </si>
  <si>
    <t>กลุ่มเกษตรทำนาปรัง บ้านโคกพลวง ม.12</t>
  </si>
  <si>
    <t>5/2547</t>
  </si>
  <si>
    <t>กลุ่มเครื่องปั้นดินเผา บ้านหนองชุมแสง ม.10</t>
  </si>
  <si>
    <t>7/2547</t>
  </si>
  <si>
    <t>กลุ่มเลี้ยงสุกร  บ้านกุดจอกน้อย ม.6</t>
  </si>
  <si>
    <t>8/2547</t>
  </si>
  <si>
    <t>กลุ่มเลี้ยงสุกร บ้านหนองผักหวาน ม.11</t>
  </si>
  <si>
    <t>2/2548</t>
  </si>
  <si>
    <t>กลุ่มเลี้ยงหมู บ้านคลองยาง ม.9</t>
  </si>
  <si>
    <t>5/2548</t>
  </si>
  <si>
    <t>กลุ่มทำหินทรายบ้านกุดจอกน้อย ม.6</t>
  </si>
  <si>
    <t>10/2548</t>
  </si>
  <si>
    <t>กลุ่มผลิตภัณฑ์เครื่องปั้นดินเผาหนองชุมแสง ม.10</t>
  </si>
  <si>
    <t>5/2549</t>
  </si>
  <si>
    <t>กลุ่มผลิตภัณฑ์เครื่องปั้นดินเผา ม.10</t>
  </si>
  <si>
    <t>18/2549</t>
  </si>
  <si>
    <t>กลุ่มผลิตภัณฑ์เครื่องปั้นดินเผา ม.10 บ้านหนองชุมแสง</t>
  </si>
  <si>
    <t>19/2549</t>
  </si>
  <si>
    <t>3/2550</t>
  </si>
  <si>
    <t>กลุ่มทำหินทราย ม.6</t>
  </si>
  <si>
    <t>5/2550</t>
  </si>
  <si>
    <t>24/2550</t>
  </si>
  <si>
    <t>กลุ่มไร่นาสวนผสม  ม.9</t>
  </si>
  <si>
    <t>25/2550</t>
  </si>
  <si>
    <t>9/2551</t>
  </si>
  <si>
    <t>กลุ่มผลิตภัณฑ์เครื่องปั่นดินเผาบ้านหนองชุมแสง ม.10</t>
  </si>
  <si>
    <t>21/2551</t>
  </si>
  <si>
    <t>22/2551</t>
  </si>
  <si>
    <t>กลุ่มทำหินทราย บ้านหนองผักหวาน ม.11</t>
  </si>
  <si>
    <t>26/2551</t>
  </si>
  <si>
    <t>5/2552</t>
  </si>
  <si>
    <t>กลุ่มเลี้ยงสุกร ม.6 บ้านกุดจอกน้อย</t>
  </si>
  <si>
    <t>11/2552</t>
  </si>
  <si>
    <t>กลุ่มทำหินทราย ม.6 บ้านกุดจอกน้อย</t>
  </si>
  <si>
    <t>25/2552</t>
  </si>
  <si>
    <t>กลุ่มทำหินทราย บ้านกุดจอกน้อย  ม.6</t>
  </si>
  <si>
    <t>27/2552</t>
  </si>
  <si>
    <t xml:space="preserve">กลุ่มทำหินทราย ม.11  บ้านหนองผักหวาน </t>
  </si>
  <si>
    <t>28/2552</t>
  </si>
  <si>
    <t>2/2553</t>
  </si>
  <si>
    <t>กลุ่มเลี้ยงปลาดุกบ่อพลาสติก ม.1</t>
  </si>
  <si>
    <t>3/2553</t>
  </si>
  <si>
    <t xml:space="preserve">กลุ่มเลี้ยงสุกร ม.11 บ้านหนองผักหวาน </t>
  </si>
  <si>
    <t>15/2553</t>
  </si>
  <si>
    <t xml:space="preserve">กลุ่มทำหินทราย ม.6 </t>
  </si>
  <si>
    <t>17/2553</t>
  </si>
  <si>
    <t>กลุ่มปลูกมันสำปะหลังพันธุ์ดี ม.1</t>
  </si>
  <si>
    <t>3/2554</t>
  </si>
  <si>
    <t>กลุ่มเกษตรกรทำไร่มันสำปะหลัง ม.1</t>
  </si>
  <si>
    <t>5/2554</t>
  </si>
  <si>
    <t xml:space="preserve">กลุ่มไร่นาสวนผสม ม.9  บ้านคลองยาง </t>
  </si>
  <si>
    <t>6/2554</t>
  </si>
  <si>
    <t>13/2554</t>
  </si>
  <si>
    <t>กลุ่มหินทราย บ้านกุดจอกน้อย  ม.6</t>
  </si>
  <si>
    <t>14/2554</t>
  </si>
  <si>
    <t>25/2554</t>
  </si>
  <si>
    <t xml:space="preserve"> 3/2555</t>
  </si>
  <si>
    <t xml:space="preserve">กลุ่มไร่นาสวนผสม ม.9  </t>
  </si>
  <si>
    <t xml:space="preserve"> 5/2555</t>
  </si>
  <si>
    <t>กลุ่มทำนาบ้านละลม  ม.1</t>
  </si>
  <si>
    <t xml:space="preserve"> 6/2555</t>
  </si>
  <si>
    <t>กลุ่มทำไร่มันสำปะหลัง  ม.1</t>
  </si>
  <si>
    <t xml:space="preserve"> 7/2555</t>
  </si>
  <si>
    <t>กลุ่มทำนา ม.11  บ้านหนองผักหวาน</t>
  </si>
  <si>
    <t xml:space="preserve"> 8/2555</t>
  </si>
  <si>
    <t>กลุ่มทำเครื่องปั้นดินเผา  ม.10</t>
  </si>
  <si>
    <t xml:space="preserve"> 12/2555</t>
  </si>
  <si>
    <t>กลุ่มหล่อหินทราย  ม.6  บ้านกุดจอกน้อย</t>
  </si>
  <si>
    <t xml:space="preserve"> 13/2555</t>
  </si>
  <si>
    <t>กลุ่มเลี้ยงหมูสุกร  ม.6  บ้านกุดจอกน้อย</t>
  </si>
  <si>
    <t xml:space="preserve">         (  นางภัทรวดี     ป้อมกระโทก  )                                                               (  นางพัฒนา        เหมือนจิตต์ )    </t>
  </si>
  <si>
    <t xml:space="preserve">            นักวิชาการเงินและบัญชี                                                                                ผู้อำนวยการกองคลัง</t>
  </si>
  <si>
    <t xml:space="preserve">กลุ่มทำนา   ม.  2  บ้านละลม  </t>
  </si>
  <si>
    <t xml:space="preserve">กลุ่มเกษตรกรปลูกมันสำปะหลัง  ม.  2  บ้านละลม  </t>
  </si>
  <si>
    <t>กลุ่มเกษตรกรทำนาบ้านละลม  หมู่ 2</t>
  </si>
  <si>
    <t>กลุ่มกระยาสาทบ้านละลม  หมู่  3</t>
  </si>
  <si>
    <t>กลุ่มทำไร่มันสำปะหลัง  หมู่  4</t>
  </si>
  <si>
    <t>กลุ่มเกษตรกรบ้านละลม  หมู่  4</t>
  </si>
  <si>
    <t>กลุ่มเกษตรกรปลูกอ้อยหมู่  5  บ้านสระตะหมก</t>
  </si>
  <si>
    <t>กลุ่มทำหินทรายบ้านกุดจอกน้อย  หมู่  6</t>
  </si>
  <si>
    <t>กลุ่มเลี้ยงสุกร  ม.  6  บ้านกุดจอกน้อย</t>
  </si>
  <si>
    <t>กลุ่มปลูกพืชฤดูแล้ง  ม.12  บ้านโคกพลวง</t>
  </si>
  <si>
    <t>9/2549</t>
  </si>
  <si>
    <t>กลุ่มผลิตภัณฑ์เครื่องปั่นดินเผาบ้านหนองชุมแสง  หมู่  10</t>
  </si>
  <si>
    <t>กลุ่มผลิตภัณฑ์เครื่องปั่นดินเผา  หมู่  10</t>
  </si>
  <si>
    <t>รายละเอียดเงินทุนโครงการเศรษฐกิจชุมชน (หมู่บ้านละแสน) ที่ได้รับจัดสรร</t>
  </si>
  <si>
    <t>หมายเหตุ</t>
  </si>
  <si>
    <t>บ้านละลม  หมู่ที่ 1</t>
  </si>
  <si>
    <t>บ้านละลม  หมู่ที่ 2</t>
  </si>
  <si>
    <t>บ้านละลม  หมู่ที่ 3</t>
  </si>
  <si>
    <t>บ้านละลม  หมู่ที่ 4</t>
  </si>
  <si>
    <t>บ้านสระตะหมก  หมู่ที่ 5</t>
  </si>
  <si>
    <t>บ้านกุดจอกน้อย  หมู่ที่ 6</t>
  </si>
  <si>
    <t>บ้านกุดจอกใหญ่ หมู่ที่ 7 หมู่ที่ 12</t>
  </si>
  <si>
    <t>บ้านคลองกระชาย  หมู่ที่ 8</t>
  </si>
  <si>
    <t>บ้านคลองยาง   หมู่ที่ 9</t>
  </si>
  <si>
    <t>บ้านหนองชุมแสง  หมู่ที่ 10</t>
  </si>
  <si>
    <t>บ้านหนองผักหวาน  หมู่ที่ 11</t>
  </si>
  <si>
    <t xml:space="preserve">                                                   ผู้จัดทำ                                   </t>
  </si>
  <si>
    <t xml:space="preserve">    ผู้สอบทาน</t>
  </si>
  <si>
    <t>(นางภัทรวดี  ป้อมกระโทก)</t>
  </si>
  <si>
    <t xml:space="preserve">  นักวิชาการเงินและบัญชี</t>
  </si>
  <si>
    <t xml:space="preserve">    ผู้อำนวยการกองคลัง</t>
  </si>
  <si>
    <t>บัญชีเงินทุนโครงการเศรษฐกิจชุชน</t>
  </si>
  <si>
    <t>(นางพัฒนา   เหมือนจิตต์ )</t>
  </si>
  <si>
    <t>บัญชีลูกหนี้เงินทุนโครงการเศรษฐกิจชุมชน  อบต.  (หมู่บ้านละแสน)</t>
  </si>
  <si>
    <t>รายละเอียดค่าปรับเงินทุนโครงการเศรษฐกิจชุมชน  อบต.  (หมู่บ้านละแสน)</t>
  </si>
  <si>
    <t>รายละเอียดดอกเบี้ยเงินทุนโครงการเศรษฐกิจชุมชน  อบต.  (หมู่บ้านละแสน)</t>
  </si>
  <si>
    <t xml:space="preserve">กลุ่มเลี้ยงหมูบ้านคลองยาง ม.9 </t>
  </si>
  <si>
    <t>กลุ่มเกษตรกรบ้านโคกพลวง ม.12</t>
  </si>
  <si>
    <t xml:space="preserve">     ....................................................... ผู้จัดทำ                                             ......................................................ผู้สอบทาน          </t>
  </si>
  <si>
    <t xml:space="preserve"> </t>
  </si>
  <si>
    <t>ดอกเบี้ย</t>
  </si>
  <si>
    <t>511000</t>
  </si>
  <si>
    <t>110300</t>
  </si>
  <si>
    <t>110900</t>
  </si>
  <si>
    <t>111000</t>
  </si>
  <si>
    <t>111100</t>
  </si>
  <si>
    <t>120100</t>
  </si>
  <si>
    <t>521000</t>
  </si>
  <si>
    <t>210100</t>
  </si>
  <si>
    <t>210200</t>
  </si>
  <si>
    <t>210300</t>
  </si>
  <si>
    <t>210400</t>
  </si>
  <si>
    <t>210600</t>
  </si>
  <si>
    <t>210700</t>
  </si>
  <si>
    <t>522000</t>
  </si>
  <si>
    <t>220100</t>
  </si>
  <si>
    <t>220200</t>
  </si>
  <si>
    <t>220300</t>
  </si>
  <si>
    <t>220400</t>
  </si>
  <si>
    <t>220500</t>
  </si>
  <si>
    <t>220600</t>
  </si>
  <si>
    <t>220700</t>
  </si>
  <si>
    <t>531000</t>
  </si>
  <si>
    <t>310100</t>
  </si>
  <si>
    <t>310300</t>
  </si>
  <si>
    <t>310400</t>
  </si>
  <si>
    <t>310500</t>
  </si>
  <si>
    <t>310600</t>
  </si>
  <si>
    <t>532000</t>
  </si>
  <si>
    <t>320100</t>
  </si>
  <si>
    <t>320200</t>
  </si>
  <si>
    <t>320300</t>
  </si>
  <si>
    <t>320400</t>
  </si>
  <si>
    <t>533000</t>
  </si>
  <si>
    <t>330100</t>
  </si>
  <si>
    <t>330200</t>
  </si>
  <si>
    <t>330300</t>
  </si>
  <si>
    <t>330400</t>
  </si>
  <si>
    <t>330500</t>
  </si>
  <si>
    <t>330600</t>
  </si>
  <si>
    <t>330700</t>
  </si>
  <si>
    <t>330800</t>
  </si>
  <si>
    <t>331000</t>
  </si>
  <si>
    <t>331400</t>
  </si>
  <si>
    <t>331500</t>
  </si>
  <si>
    <t>331600</t>
  </si>
  <si>
    <t>534000</t>
  </si>
  <si>
    <t>340100</t>
  </si>
  <si>
    <t>340200</t>
  </si>
  <si>
    <t>340300</t>
  </si>
  <si>
    <t>340400</t>
  </si>
  <si>
    <t>340500</t>
  </si>
  <si>
    <t>541000</t>
  </si>
  <si>
    <t>410100</t>
  </si>
  <si>
    <t>410500</t>
  </si>
  <si>
    <t>410700</t>
  </si>
  <si>
    <t>410800</t>
  </si>
  <si>
    <t>410900</t>
  </si>
  <si>
    <t>411100</t>
  </si>
  <si>
    <t>411600</t>
  </si>
  <si>
    <t>411800</t>
  </si>
  <si>
    <t>542000</t>
  </si>
  <si>
    <t>420600</t>
  </si>
  <si>
    <t>420700</t>
  </si>
  <si>
    <t>420900</t>
  </si>
  <si>
    <t>561000</t>
  </si>
  <si>
    <t>610100</t>
  </si>
  <si>
    <t>610200</t>
  </si>
  <si>
    <t>610400</t>
  </si>
  <si>
    <t>551000</t>
  </si>
  <si>
    <t>510100</t>
  </si>
  <si>
    <t>00311</t>
  </si>
  <si>
    <t>330900</t>
  </si>
  <si>
    <t>331300</t>
  </si>
  <si>
    <t xml:space="preserve"> 1/2556</t>
  </si>
  <si>
    <t>กลุ่มเลี้ยงจิ้งหรีดบ้านหนองผักหวาน หมู่ 11</t>
  </si>
  <si>
    <t>เงินเดือนฝ่ายการเมือง</t>
  </si>
  <si>
    <t>เงินเดือนพนักงานฝ่ายประจำ</t>
  </si>
  <si>
    <t>ค่าจ้างลูกจ้างประจำฝ่ายประจำ</t>
  </si>
  <si>
    <t>ค่าจ้างพนักงานจ้างฝ่ายประจำ</t>
  </si>
  <si>
    <t>ลูกหนี้ภาษีบำรุงท้องที่</t>
  </si>
  <si>
    <t>เงินรับฝาก(หมายเหตุ 1)</t>
  </si>
  <si>
    <t>หมวดเงินอุดหนุนทั่วไป</t>
  </si>
  <si>
    <t>411000</t>
  </si>
  <si>
    <t>412000</t>
  </si>
  <si>
    <t>413000</t>
  </si>
  <si>
    <t>415000</t>
  </si>
  <si>
    <t>416000</t>
  </si>
  <si>
    <t>420000</t>
  </si>
  <si>
    <t>431000</t>
  </si>
  <si>
    <t>230100</t>
  </si>
  <si>
    <t>2. ค่าธรรมเนียมปิด โปรย ติดตั้งแผ่นป้ายประกาศ</t>
  </si>
  <si>
    <t>412210</t>
  </si>
  <si>
    <t>412301</t>
  </si>
  <si>
    <t>8.ค่าใบอนุญาตประกอบการค้าสำหรับกิจการที่เป็นอันตรายต่อสุขภาพ</t>
  </si>
  <si>
    <t>412303</t>
  </si>
  <si>
    <t>412305</t>
  </si>
  <si>
    <t>412121</t>
  </si>
  <si>
    <t>413003</t>
  </si>
  <si>
    <t>415004</t>
  </si>
  <si>
    <t>415007</t>
  </si>
  <si>
    <t>415999</t>
  </si>
  <si>
    <t>416001</t>
  </si>
  <si>
    <t>เงินฝากธนาคาร กรุงไทย จำกัด (มหาชน)สาขาโชคชัย(ออมทรัพย์) เลขที่ 344-0-48430-0</t>
  </si>
  <si>
    <t>400000</t>
  </si>
  <si>
    <t>300000</t>
  </si>
  <si>
    <t>320000</t>
  </si>
  <si>
    <t>บัญชีเงินทุนโครงการเศรษฐกิจชุมชน</t>
  </si>
  <si>
    <t>210500</t>
  </si>
  <si>
    <t>รายจ่ายรอจ่าย</t>
  </si>
  <si>
    <t xml:space="preserve">เงินฝาก ธนาคาร  ออมสิน สาขาโชคชัย (เผื่อเรียก)   เลขที่ 0-5250073762-3 </t>
  </si>
  <si>
    <t>เงินค่าใช้จ่าย 5%</t>
  </si>
  <si>
    <t>21/2557</t>
  </si>
  <si>
    <t>20/2557</t>
  </si>
  <si>
    <t>13/2557</t>
  </si>
  <si>
    <t>17/2557</t>
  </si>
  <si>
    <t>กลุ่มปลูกมันสำปะหลัง หมู่ 8</t>
  </si>
  <si>
    <t>19/2557</t>
  </si>
  <si>
    <t>กลุ่มเลี้ยงหมูบ้านคลองยาง ม. 9 (โกรกกัดลิ้น)</t>
  </si>
  <si>
    <t>3/2557</t>
  </si>
  <si>
    <t>18/2557</t>
  </si>
  <si>
    <t>1/2558</t>
  </si>
  <si>
    <t>กลุ่มปลูกอ้อย ม. 4</t>
  </si>
  <si>
    <t>2/2558</t>
  </si>
  <si>
    <t>กลุ่มหินทราย ม. 3</t>
  </si>
  <si>
    <t>3/2558</t>
  </si>
  <si>
    <t>กลุ่มทำขนมจีนบ้านหนองผักหวาน ม. 11</t>
  </si>
  <si>
    <t>6/2556</t>
  </si>
  <si>
    <t>กลุ่มทำเครื่องปั้นดินเผา ม. 10 บ้านหนองชุมแสง</t>
  </si>
  <si>
    <t>2/2556</t>
  </si>
  <si>
    <t>กลุ่มทำหินทรายบ้านกุดจอกน้อย ม. 6</t>
  </si>
  <si>
    <t>13/2556</t>
  </si>
  <si>
    <t>กลุ่มเลี้ยงสุกร ม. 6 บ้านกุดจอกน้อย</t>
  </si>
  <si>
    <t>12/2556</t>
  </si>
  <si>
    <t>17/2556</t>
  </si>
  <si>
    <t xml:space="preserve">     ....................................................... ผู้จัดทำ                                                       .......................................................ผู้สอบทาน</t>
  </si>
  <si>
    <t xml:space="preserve">....................................................... ผู้จัดทำ                           .......................................................ผู้สอบทาน    </t>
  </si>
  <si>
    <t xml:space="preserve">            (   นางภัทรวดี     ป้อมกระโทก  )                                           (  นางพัฒนา        เหมือนจิตต์ )           </t>
  </si>
  <si>
    <t xml:space="preserve">                   นักวิชาการเงินและบัญชี                                                             ผู้อำนวยการกองคลัง</t>
  </si>
  <si>
    <t>1.  ค่าธรรมเนียมเกี่ยวกับใบอนุญาตการขายสุรา</t>
  </si>
  <si>
    <t>412103</t>
  </si>
  <si>
    <t>1.  ภาษีมูลค่าเพิ่มตาม พรบ. กำหนดแผนฯ</t>
  </si>
  <si>
    <t>1.  ภาษีและค่าธรรมเนียมรถยนต์หรือล้อเลื่อน</t>
  </si>
  <si>
    <t>ประกันสังคม</t>
  </si>
  <si>
    <t>ค่าวัสดุเชื่อเพลิงและหล่อลื่นเดือน กันยายน 2557</t>
  </si>
  <si>
    <t>รายจ่ายเพื่อให้ได้มาซึ่งบริการ-ค่าจ้างเหมาเช่าเครื่องถ่ายเอกสาร เดือน กันยายน 2557</t>
  </si>
  <si>
    <t>เงินสำรองจ่าย-โครงการปรับปรุงไหล่ทางถนน คสล. สายหลัก ม. 4</t>
  </si>
  <si>
    <t>เงินสำรองจ่าย-โครงการวางท่อ คสล. พร้อมปรับปรุงผิวจราจร คสล. ม. 1 ซอยบ้านนายนั่ง</t>
  </si>
  <si>
    <t>รายจ่ายเพื่อให้ได้มาซึ่งบริการ-โครงการขุดร่องระบายน้ำ คสล. ม. 2,3,10</t>
  </si>
  <si>
    <t>รายจ่ายเพื่อให้ได้มาซึ่งบริการ-ค่าจ้างเหมาแม่บ้าน อบต. เดือน กันยายน 2557</t>
  </si>
  <si>
    <t>ค่าอาหารเสริมนมโรงเรียนเดือน กันยายน 2557</t>
  </si>
  <si>
    <t>ค่าอาหารเสริมนมศูนย์พัฒนาเด็กเล็ก อบต. เดือน กันยายน 2557</t>
  </si>
  <si>
    <t>ค่าอาหารกลางวันศูนย์พัฒนาเด็กเล็ก อบต. เดือน กันยายน 2557</t>
  </si>
  <si>
    <t>ค่าอาหารกลางวันศูนย์พัฒนาเด็กเล็ก อบต. เดือน ตุลาคม 2557</t>
  </si>
  <si>
    <t>รายจ่ายอื่น-เงินประโยชน์ตอบแทนอื่นเป็นกรณีพิเศษค้างจ่ายปีงบประมาณ 2557 (สำนักปลัด)</t>
  </si>
  <si>
    <t>รายจ่ายอื่น-เงินประโยชน์ตอบแทนอื่นเป็นกรณีพิเศษค้างจ่ายปีงบประมาณ 2557 (กองคลัง)</t>
  </si>
  <si>
    <t>รายจ่ายอื่น-เงินประโยชน์ตอบแทนอื่นเป็นกรณีพิเศษค้างจ่ายปีงบประมาณ 2557 (กองช่าง)</t>
  </si>
  <si>
    <t>รายจ่ายอื่น-เงินประโยชน์ตอบแทนอื่นเป็นกรณีพิเศษค้างจ่ายปีงบประมาณ 2557 (ส่วนสาธารณสุข)</t>
  </si>
  <si>
    <t>รายจ่ายอื่น-เงินประโยชน์ตอบแทนอื่นเป็นกรณีพิเศษค้างจ่ายปีงบประมาณ 2557 (ส่วนการศึกษา)</t>
  </si>
  <si>
    <t>รายจ่ายรอจ่าย ( หมายเหตุ  5 )</t>
  </si>
  <si>
    <t>ปีงบประมาณ  2558</t>
  </si>
  <si>
    <t xml:space="preserve">           รับเงินลูกหนี้  </t>
  </si>
  <si>
    <t xml:space="preserve">          จ่ายเงินรายจ่าย</t>
  </si>
  <si>
    <t xml:space="preserve">          จ่ายเงินลูกหนี้</t>
  </si>
  <si>
    <t>421000</t>
  </si>
  <si>
    <t>610300</t>
  </si>
  <si>
    <t>00252</t>
  </si>
  <si>
    <t>00250</t>
  </si>
  <si>
    <t>เงินอุดหนุนทั่วไประบุวัตถุประสงค์-เบี้ยยังชีพผู้สูงอายุ</t>
  </si>
  <si>
    <t>เงินอุดหนุนทั่วไประบุวัตถุประสงค์-เบี้ยยังชีพคนพิการ</t>
  </si>
  <si>
    <t>เงินอุดหนุนทั่วไประบุวัตถุประสงค์-ค่าจ้างพนักงานจ้างศูนย์เด็ก</t>
  </si>
  <si>
    <t>441001</t>
  </si>
  <si>
    <t>เงินอุดหนุนทั่วไประบุวัตถุประสงค์-เพื่อพัฒนาประเทศ</t>
  </si>
  <si>
    <t>เงินอุดหนุนทั่วไประบุวัตถุประสงค์-ค่าจัดการเรียนการสอนศูนย์พัฒนาเด็กเล็ก</t>
  </si>
  <si>
    <t>เงินอุดหนุนทั่วไประบุวัตถุประสงค์-สำหรับสนับสนุนศูนย์พัฒนาเด็กเล็ก</t>
  </si>
  <si>
    <t>1.เงินอุดหนุนทั่วไประบุวัตถุประสงค์-เพื่อสนับสนุนศูนย์พัฒนาเด็กเล็ก</t>
  </si>
  <si>
    <t>2.เงินอุดหนุนทั่วไประบุวัตถุประสงค์-ค่าจัดการเรียนการสอนศูนย์</t>
  </si>
  <si>
    <t xml:space="preserve">   พัฒนาเด็กเล็ก</t>
  </si>
  <si>
    <t>3.เงินอุดหนุนทั่วไประบุวัตถุประสงค์-เบี้ยยังชีพคนพิการ</t>
  </si>
  <si>
    <t>4.เงินอุดหนุนทั่วไประบุวัตถุประสงค์-เพื่อพัฒนาประเทศ</t>
  </si>
  <si>
    <t>5.เงินอุดหนุนทั่วไประบุวัตถุประสงค์-เบี้ยยังชีพผู้สูงอายุ</t>
  </si>
  <si>
    <t>.</t>
  </si>
  <si>
    <t>4/2558</t>
  </si>
  <si>
    <t>กลุ่มทำหินทราย หมู่ 11</t>
  </si>
  <si>
    <t>5/2558</t>
  </si>
  <si>
    <t>6/2558</t>
  </si>
  <si>
    <t>7/2558</t>
  </si>
  <si>
    <t>เงินอุดหนุนทั่วไประบุวัตถุประสงค์-ค่าจ้างพนักงานจ้างศูนย์พัฒนาเด็กเล็ก</t>
  </si>
  <si>
    <t>เงินอุดหนุนทั่วไประบุวัตถุประสงค์-เงินสมทบกองทุนประกันสังคมศูนย์พัฒนาเด็กเล็ก</t>
  </si>
  <si>
    <t xml:space="preserve">          รับเงินอุดหนุนทั่วไป</t>
  </si>
  <si>
    <t xml:space="preserve">          รับเงินอุดหนุนทั่วไประบุวัตถุประสงค์</t>
  </si>
  <si>
    <t xml:space="preserve">           จ่ายเงินอุดหนุนทั่วไประบุวัตถุประสงค์</t>
  </si>
  <si>
    <t/>
  </si>
  <si>
    <t>กลุ่มเกษตรกรปลูกผักเลี้ยงปลา หมู่ 11</t>
  </si>
  <si>
    <t>8/2558</t>
  </si>
  <si>
    <t>9/2558</t>
  </si>
  <si>
    <t>กลุ่มเกษตรกรปลูกผักเลี้ยงปลา ม. 11</t>
  </si>
  <si>
    <t>ค่ารักษาพยาบาล</t>
  </si>
  <si>
    <t xml:space="preserve">                                                        </t>
  </si>
  <si>
    <t>10/2558</t>
  </si>
  <si>
    <t>กลุ่มทำนาบ้านละลม หมู่ 1</t>
  </si>
  <si>
    <t>12/2558</t>
  </si>
  <si>
    <t>กลุ่มทำไร่มันสำประหลัง หมู่ 1</t>
  </si>
  <si>
    <t>11/2558</t>
  </si>
  <si>
    <t>13/2558</t>
  </si>
  <si>
    <t>กลุ่มไร่นาสวนผสม หมู่ 9</t>
  </si>
  <si>
    <t xml:space="preserve">          จ่ายเงินสะสม</t>
  </si>
  <si>
    <t xml:space="preserve">     </t>
  </si>
  <si>
    <t>โอนงบประมาณเพิ่ม +</t>
  </si>
  <si>
    <t>โอนงบประมาณลด -</t>
  </si>
  <si>
    <t>รายจ่าย (จ่ายจากเงินสะสม)</t>
  </si>
  <si>
    <t>14/2558</t>
  </si>
  <si>
    <t>กลุ่มทำเครื่องปั้นดินเผา หมู่ 10 บ้านหนองชุมแสง</t>
  </si>
  <si>
    <t>กลุ่มเกษตรทำนา บ้านกุดจอกใหญ่ ม.7</t>
  </si>
  <si>
    <t>รับคืน</t>
  </si>
  <si>
    <t>ค่าที่ดินและสิ่งก่อสร้าง-โครงการก่อสร้างถนนลูกรัง หมู่ 9</t>
  </si>
  <si>
    <t>งบประมาณคงเหลือ</t>
  </si>
  <si>
    <t>รายจ่ายตามงบประมาณ (จ่ายจากรายรับ)</t>
  </si>
  <si>
    <t xml:space="preserve">           รับเงินรับคืน  </t>
  </si>
  <si>
    <t xml:space="preserve">           จ่ายเงินรับคืน</t>
  </si>
  <si>
    <t>เงินอุดหนุนทั่วไประบุวัตถุประสงค์-ค่าใช้จ่ายสำหรับบำบัดฟื้นฟูผู้ติดยาเสพติด</t>
  </si>
  <si>
    <t>เงินอุดหนุนทั่วไประบุวัตถุประสงค์-ค่าใช้จ่ายสำหรับฝึกอบรมอาชีพให้แก่ผู้ที่ผ่านการบำบัดฟื้นฟู</t>
  </si>
  <si>
    <t>เงินอุดหนุนทั่วไประบุวัตถุประสงค์-เงินสมทบกองทุนประกันสังคม</t>
  </si>
  <si>
    <t>เงินอุดหนุนทั่วไประบุวัตถุประสงค์-ค่าใช้จ่ายสำหรับบำบัดฟื้นฟูผู้ติดยาสพติด</t>
  </si>
  <si>
    <t>6.เงินอุดหนุนทั่วไประบุวัตถุประสงค์-ค่าใช้จ่ายสำหรับการบำบัดและ</t>
  </si>
  <si>
    <t xml:space="preserve">   ฟื้นฟูผู้ติดยาเสพติด</t>
  </si>
  <si>
    <t>7.เงินอุดหนุนทั่วไประบุวัตถุประสงค์-ค่าใช้จ่ายสำหรับอาชีพให้แก่</t>
  </si>
  <si>
    <t xml:space="preserve">   ผู้ท่ผ่านการบำบัดฟื้นฟู</t>
  </si>
  <si>
    <t>นักวิชาการเงินและบัญชี</t>
  </si>
  <si>
    <t>เงินอุดหนุนทั่วไประบุวัตถุประสงค์-เงินเดือนพนักงานครูศูนย์พัฒนาเด็กเล็ก</t>
  </si>
  <si>
    <t>ธนาคาร  ธ.กรุงไทย  (ออมทรัพย์)  สาขาโชคชัย</t>
  </si>
  <si>
    <t>เลขที่บัญชี 344-0-48430-0</t>
  </si>
  <si>
    <r>
      <rPr>
        <b/>
        <u val="single"/>
        <sz val="16"/>
        <rFont val="Angsana New"/>
        <family val="1"/>
      </rPr>
      <t>หัก</t>
    </r>
    <r>
      <rPr>
        <b/>
        <sz val="16"/>
        <rFont val="Angsana New"/>
        <family val="1"/>
      </rPr>
      <t xml:space="preserve">  เงินรายได้ที่ยังไม่รับรู้</t>
    </r>
  </si>
  <si>
    <t>ลูกหนี้เงินยืม</t>
  </si>
  <si>
    <t>รายจ่ายค้างจ่าย (หมายเหตุ 4)</t>
  </si>
  <si>
    <t>เงินอุดหนุนทั่วไประบุวัตถุประสงค์เพื่อพัฒนาประเทศ</t>
  </si>
  <si>
    <t xml:space="preserve">          ผู้อำนวยการกองคลัง</t>
  </si>
  <si>
    <t xml:space="preserve">                นักวิชาการเงินและบัญชี</t>
  </si>
  <si>
    <t>20 พ.ค. 58</t>
  </si>
  <si>
    <t>09602388</t>
  </si>
  <si>
    <t>รายละเอียด ประกอบงบทดลอง</t>
  </si>
  <si>
    <r>
      <rPr>
        <u val="single"/>
        <sz val="12"/>
        <rFont val="Angsana New"/>
        <family val="1"/>
      </rPr>
      <t>เงินรับฝาก</t>
    </r>
    <r>
      <rPr>
        <sz val="12"/>
        <rFont val="Angsana New"/>
        <family val="1"/>
      </rPr>
      <t xml:space="preserve"> (หมายเหตุ 1)</t>
    </r>
  </si>
  <si>
    <t>รายรับจริงประกอบรายงานรับ - จ่ายเงิน</t>
  </si>
  <si>
    <t>รับจริงเดือนนี้</t>
  </si>
  <si>
    <t>รายได้ที่รัฐบาลอุดหนุนให้โดยระบุวัตถุประสงค์/เงินอุดหนุนเฉพาะกิจ</t>
  </si>
  <si>
    <t>หมวดเงินอุดหนุนทั่วไประบุวัตถุประสงค์เฉพาะกิจ</t>
  </si>
  <si>
    <t>เงินอุดหนุนระบุ</t>
  </si>
  <si>
    <t>วัตถุประสงค์/</t>
  </si>
  <si>
    <t>เฉพาะกิจ(บาท)</t>
  </si>
  <si>
    <t>เดือนนี้ที่เกิดขึ้น</t>
  </si>
  <si>
    <t>จริง</t>
  </si>
  <si>
    <t>หมวดเงินอุดหนุนทั่วไประบุวัตถุประสงค์/เฉพาะกิจ</t>
  </si>
  <si>
    <t>รวมรายจ่าย</t>
  </si>
  <si>
    <t>รายรับสูงกว่า (ต่ำกว่า) รายจ่าย</t>
  </si>
  <si>
    <t>ยอดยกไป</t>
  </si>
  <si>
    <r>
      <t>รายรับ</t>
    </r>
    <r>
      <rPr>
        <sz val="11"/>
        <rFont val="Angsana New"/>
        <family val="1"/>
      </rPr>
      <t xml:space="preserve">     (  หมายเหตุ   1  )</t>
    </r>
  </si>
  <si>
    <t>เงินอุดหนุนทั่วไประบุวัตถุประสงค์-ค่าจัดการเรียนการสอน</t>
  </si>
  <si>
    <t>ศูนย์พัฒนาเด็กเล็ก อบต.</t>
  </si>
  <si>
    <t>ให้แก่ผู้ที่ผ่านการบำบัดฟื้นฟู</t>
  </si>
  <si>
    <t>เงินอุดหนุนทั่วไประบุวัตถุประสงค์-ค่าใช้จ่ายสำหรับฝักอบรมอาชีพ</t>
  </si>
  <si>
    <t>รายละเอียดประกอบรายงานรับ - จ่ายเงิน</t>
  </si>
  <si>
    <t>เงินรับฝาก (หมายเหตุ 2)</t>
  </si>
  <si>
    <t>เงินรับฝาก (หมายเหตุ 3)</t>
  </si>
  <si>
    <t>รายจ่ายรอจ่าย (หมายเหตุ 5)</t>
  </si>
  <si>
    <t>ลูกหนี้เงินทุนโครงการเศรษฐกิจชุมชน(หมายเหตุ 2)</t>
  </si>
  <si>
    <t>111201</t>
  </si>
  <si>
    <t>111202</t>
  </si>
  <si>
    <t>100000</t>
  </si>
  <si>
    <t>210000</t>
  </si>
  <si>
    <t>220000</t>
  </si>
  <si>
    <t>310000</t>
  </si>
  <si>
    <t>330000</t>
  </si>
  <si>
    <t>340000</t>
  </si>
  <si>
    <t>410000</t>
  </si>
  <si>
    <t>610000</t>
  </si>
  <si>
    <t>113100</t>
  </si>
  <si>
    <t>113302</t>
  </si>
  <si>
    <t>113500</t>
  </si>
  <si>
    <t>15/2558</t>
  </si>
  <si>
    <t>16/2557</t>
  </si>
  <si>
    <t>ลูกหนี้เงินทุนโครงการเศรษฐกิจชุมชน</t>
  </si>
  <si>
    <t>ประกันสัญญา</t>
  </si>
  <si>
    <t>113700</t>
  </si>
  <si>
    <t>215000</t>
  </si>
  <si>
    <t>211000</t>
  </si>
  <si>
    <t>ยอดเงินคงเหลือตามรายงานธนาคาร ณ วันที่  30  มิถุนายน  2558</t>
  </si>
  <si>
    <t>ยอดเงินคงเหลือตามบัญชี  ณ  วันที่  30  มิถุนายน  2558</t>
  </si>
  <si>
    <t>(ลงชื่อ)...................................................วันที่ 30  มิถุนายน 2558</t>
  </si>
  <si>
    <t>(ลงชื่อ).................................วันที่  30  มิถุนายน  2558</t>
  </si>
  <si>
    <r>
      <rPr>
        <b/>
        <u val="single"/>
        <sz val="16"/>
        <rFont val="Angsana New"/>
        <family val="1"/>
      </rPr>
      <t>หัก</t>
    </r>
    <r>
      <rPr>
        <b/>
        <sz val="16"/>
        <rFont val="Angsana New"/>
        <family val="1"/>
      </rPr>
      <t xml:space="preserve"> เงินรายได้ที่ยังไม่รับรู้</t>
    </r>
  </si>
  <si>
    <t>25 มิ.ย. 58</t>
  </si>
  <si>
    <t>ณ  วันที่   31  กรกฎาคม 2558</t>
  </si>
  <si>
    <t>ลูกหนี้เงินยืมสะสม</t>
  </si>
  <si>
    <t>โครงการรักให้เป็นหยุดท้องก่อนวัยอันควร</t>
  </si>
  <si>
    <t>ณ วันที่  31  กรกฎาคม  2558</t>
  </si>
  <si>
    <t>หมายเหตุ 2  ประกอบงบทดลอง  ณ  วันที่    31  กรกฎาคม  2558</t>
  </si>
  <si>
    <t>หมายเหตุ 1  ประกอบงบทดลอง  ณ  วันที่    31  กรกฎาคม  2558</t>
  </si>
  <si>
    <t>เงินอุดหนุนทั่วไประบุวัตถุประสงค์-คชจ.สำหรับบำบัดฟื้นฟูผู้ติดยาเสพติด</t>
  </si>
  <si>
    <t>เงินอุดหนุนทั่วไประบุวัตถุประสงค์-คชจ.สำหรับฝึกอบรมอาชีพให้แก่ผู้ผ่านบำบัด</t>
  </si>
  <si>
    <t>14 ก.ค. 58</t>
  </si>
  <si>
    <t>17 ก.ค. 58</t>
  </si>
  <si>
    <t>11390714</t>
  </si>
  <si>
    <t>11390716</t>
  </si>
  <si>
    <t>11390717</t>
  </si>
  <si>
    <t>11390718</t>
  </si>
  <si>
    <t>11390721</t>
  </si>
  <si>
    <t>11390724</t>
  </si>
  <si>
    <t>27 ก.ค. 58</t>
  </si>
  <si>
    <t>11390728</t>
  </si>
  <si>
    <t>11390729</t>
  </si>
  <si>
    <t>11390730</t>
  </si>
  <si>
    <t>28 ก.ค. 58</t>
  </si>
  <si>
    <t>11390735</t>
  </si>
  <si>
    <t>29 ก.ค. 58</t>
  </si>
  <si>
    <t>11390736</t>
  </si>
  <si>
    <t>ยอดเงินคงเหลือตามบัญชี  ณ  วันที่  31  กรกฎาคม  2558</t>
  </si>
  <si>
    <t>(ลงชื่อ)...................................................วันที่ 31  กรกฎาคม 2558</t>
  </si>
  <si>
    <t>(ลงชื่อ).....................................วันที่  31  กรกฎาคม 2558</t>
  </si>
  <si>
    <t>ยอดเงินคงเหลือตามรายงานธนาคาร ณ วันที่  31  กรกฎาคม  2558</t>
  </si>
  <si>
    <t xml:space="preserve">ประจำเดือน กรกฎาคม  2558 </t>
  </si>
  <si>
    <t>วันที่  1 กรกฎาคม  2558  ถึง   31  กรกฎาคม  2558</t>
  </si>
  <si>
    <t>เดือน  กรกฎาคม  2558</t>
  </si>
  <si>
    <t xml:space="preserve"> 31  กรกฎาคม  2558</t>
  </si>
  <si>
    <t xml:space="preserve">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</si>
</sst>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6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#,##0.00;[Red]#,##0.0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\-"/>
    <numFmt numFmtId="213" formatCode="\-\l"/>
    <numFmt numFmtId="214" formatCode="[$-41E]d\ mmmm\ yyyy"/>
    <numFmt numFmtId="215" formatCode="[$-107041E]d\ mmmm\ yyyy;@"/>
    <numFmt numFmtId="216" formatCode="0.0"/>
    <numFmt numFmtId="217" formatCode="#,##0.00000000000"/>
    <numFmt numFmtId="218" formatCode="#,##0.000000000000"/>
    <numFmt numFmtId="219" formatCode="#,##0.0000000000000"/>
    <numFmt numFmtId="220" formatCode="#,##0.00000000000000"/>
    <numFmt numFmtId="221" formatCode="#,##0.0000000000"/>
    <numFmt numFmtId="222" formatCode="#,##0.000000000"/>
    <numFmt numFmtId="223" formatCode="#,##0.00000000"/>
    <numFmt numFmtId="224" formatCode="#,##0.0000000"/>
    <numFmt numFmtId="225" formatCode="#,##0.000000"/>
    <numFmt numFmtId="226" formatCode="#,##0.00000"/>
    <numFmt numFmtId="227" formatCode="#,##0.0000"/>
    <numFmt numFmtId="228" formatCode="#,##0.000"/>
    <numFmt numFmtId="229" formatCode="#,##0.0"/>
    <numFmt numFmtId="230" formatCode="[&lt;=99999999][$-D000000]0\-####\-####;[$-D000000]#\-####\-####"/>
    <numFmt numFmtId="231" formatCode="[$-F800]dddd\,\ mmmm\ dd\,\ yyyy"/>
    <numFmt numFmtId="232" formatCode="_(* #,##0.000_);_(* \(#,##0.000\);_(* &quot;-&quot;??_);_(@_)"/>
    <numFmt numFmtId="233" formatCode="0.000"/>
    <numFmt numFmtId="234" formatCode="_(* #,##0.0000_);_(* \(#,##0.0000\);_(* &quot;-&quot;??_);_(@_)"/>
    <numFmt numFmtId="235" formatCode="[$-107041E]d\ mmm\ yy;@"/>
    <numFmt numFmtId="236" formatCode="[$-1070000]d/m/yy;@"/>
    <numFmt numFmtId="237" formatCode="#,##0_);\(#,##0.00\)"/>
    <numFmt numFmtId="238" formatCode="&quot;$&quot;#,##0.00_);\(&quot;&quot;#,##0.00\)"/>
    <numFmt numFmtId="239" formatCode="mmm\-yyyy"/>
  </numFmts>
  <fonts count="59">
    <font>
      <sz val="10"/>
      <name val="Arial"/>
      <family val="0"/>
    </font>
    <font>
      <sz val="8"/>
      <name val="Arial"/>
      <family val="2"/>
    </font>
    <font>
      <sz val="13"/>
      <name val="TH SarabunPSK"/>
      <family val="2"/>
    </font>
    <font>
      <b/>
      <sz val="13"/>
      <name val="Angsana New"/>
      <family val="1"/>
    </font>
    <font>
      <sz val="13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b/>
      <sz val="10"/>
      <name val="Angsana New"/>
      <family val="1"/>
    </font>
    <font>
      <sz val="10"/>
      <name val="Angsana New"/>
      <family val="1"/>
    </font>
    <font>
      <b/>
      <sz val="11"/>
      <name val="Angsana New"/>
      <family val="1"/>
    </font>
    <font>
      <b/>
      <sz val="12"/>
      <name val="Angsana New"/>
      <family val="1"/>
    </font>
    <font>
      <b/>
      <u val="single"/>
      <sz val="12"/>
      <name val="Angsana New"/>
      <family val="1"/>
    </font>
    <font>
      <sz val="12"/>
      <name val="Angsana New"/>
      <family val="1"/>
    </font>
    <font>
      <sz val="12"/>
      <name val="TH SarabunPSK"/>
      <family val="2"/>
    </font>
    <font>
      <sz val="16"/>
      <name val="Angsana New"/>
      <family val="1"/>
    </font>
    <font>
      <u val="single"/>
      <sz val="12"/>
      <name val="Angsana New"/>
      <family val="1"/>
    </font>
    <font>
      <sz val="11"/>
      <name val="Angsana New"/>
      <family val="1"/>
    </font>
    <font>
      <u val="single"/>
      <sz val="11"/>
      <name val="Angsana New"/>
      <family val="1"/>
    </font>
    <font>
      <sz val="11"/>
      <name val="TH SarabunPSK"/>
      <family val="2"/>
    </font>
    <font>
      <sz val="11"/>
      <color indexed="10"/>
      <name val="Angsana New"/>
      <family val="1"/>
    </font>
    <font>
      <b/>
      <sz val="11"/>
      <name val="TH SarabunPSK"/>
      <family val="2"/>
    </font>
    <font>
      <sz val="10.5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51" fillId="23" borderId="1" applyNumberFormat="0" applyAlignment="0" applyProtection="0"/>
    <xf numFmtId="0" fontId="52" fillId="24" borderId="0" applyNumberFormat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5" fillId="20" borderId="5" applyNumberFormat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6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0" xfId="0" applyNumberFormat="1" applyFont="1" applyBorder="1" applyAlignment="1">
      <alignment/>
    </xf>
    <xf numFmtId="4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94" fontId="4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left" indent="3"/>
    </xf>
    <xf numFmtId="0" fontId="5" fillId="33" borderId="10" xfId="0" applyFont="1" applyFill="1" applyBorder="1" applyAlignment="1">
      <alignment horizontal="center"/>
    </xf>
    <xf numFmtId="194" fontId="7" fillId="0" borderId="12" xfId="33" applyFont="1" applyBorder="1" applyAlignment="1">
      <alignment horizontal="right"/>
    </xf>
    <xf numFmtId="194" fontId="7" fillId="0" borderId="11" xfId="33" applyFont="1" applyBorder="1" applyAlignment="1">
      <alignment horizontal="right"/>
    </xf>
    <xf numFmtId="0" fontId="7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194" fontId="7" fillId="33" borderId="13" xfId="33" applyFont="1" applyFill="1" applyBorder="1" applyAlignment="1">
      <alignment horizontal="right"/>
    </xf>
    <xf numFmtId="0" fontId="6" fillId="0" borderId="12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8" fillId="0" borderId="14" xfId="0" applyFont="1" applyBorder="1" applyAlignment="1">
      <alignment/>
    </xf>
    <xf numFmtId="43" fontId="8" fillId="0" borderId="14" xfId="0" applyNumberFormat="1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43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Alignment="1">
      <alignment/>
    </xf>
    <xf numFmtId="43" fontId="8" fillId="0" borderId="16" xfId="0" applyNumberFormat="1" applyFont="1" applyBorder="1" applyAlignment="1">
      <alignment horizontal="center"/>
    </xf>
    <xf numFmtId="43" fontId="8" fillId="0" borderId="16" xfId="0" applyNumberFormat="1" applyFont="1" applyBorder="1" applyAlignment="1">
      <alignment/>
    </xf>
    <xf numFmtId="43" fontId="8" fillId="0" borderId="0" xfId="0" applyNumberFormat="1" applyFont="1" applyBorder="1" applyAlignment="1">
      <alignment/>
    </xf>
    <xf numFmtId="43" fontId="8" fillId="0" borderId="17" xfId="0" applyNumberFormat="1" applyFont="1" applyBorder="1" applyAlignment="1">
      <alignment/>
    </xf>
    <xf numFmtId="0" fontId="8" fillId="0" borderId="14" xfId="0" applyFont="1" applyBorder="1" applyAlignment="1">
      <alignment/>
    </xf>
    <xf numFmtId="43" fontId="8" fillId="0" borderId="18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/>
    </xf>
    <xf numFmtId="43" fontId="8" fillId="0" borderId="15" xfId="0" applyNumberFormat="1" applyFont="1" applyBorder="1" applyAlignment="1">
      <alignment/>
    </xf>
    <xf numFmtId="4" fontId="4" fillId="0" borderId="19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194" fontId="4" fillId="0" borderId="0" xfId="33" applyFont="1" applyAlignment="1">
      <alignment horizontal="right"/>
    </xf>
    <xf numFmtId="194" fontId="4" fillId="0" borderId="11" xfId="33" applyFont="1" applyBorder="1" applyAlignment="1">
      <alignment horizontal="right"/>
    </xf>
    <xf numFmtId="194" fontId="7" fillId="0" borderId="20" xfId="33" applyFont="1" applyBorder="1" applyAlignment="1">
      <alignment horizontal="right"/>
    </xf>
    <xf numFmtId="49" fontId="8" fillId="0" borderId="14" xfId="0" applyNumberFormat="1" applyFont="1" applyBorder="1" applyAlignment="1">
      <alignment/>
    </xf>
    <xf numFmtId="49" fontId="8" fillId="0" borderId="1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49" fontId="8" fillId="0" borderId="14" xfId="0" applyNumberFormat="1" applyFont="1" applyBorder="1" applyAlignment="1">
      <alignment/>
    </xf>
    <xf numFmtId="49" fontId="8" fillId="0" borderId="15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 horizontal="center"/>
    </xf>
    <xf numFmtId="4" fontId="11" fillId="0" borderId="10" xfId="0" applyNumberFormat="1" applyFont="1" applyBorder="1" applyAlignment="1">
      <alignment/>
    </xf>
    <xf numFmtId="43" fontId="11" fillId="0" borderId="0" xfId="0" applyNumberFormat="1" applyFont="1" applyAlignment="1">
      <alignment horizontal="center"/>
    </xf>
    <xf numFmtId="0" fontId="11" fillId="0" borderId="0" xfId="0" applyFont="1" applyBorder="1" applyAlignment="1">
      <alignment/>
    </xf>
    <xf numFmtId="49" fontId="11" fillId="0" borderId="0" xfId="0" applyNumberFormat="1" applyFont="1" applyBorder="1" applyAlignment="1">
      <alignment/>
    </xf>
    <xf numFmtId="49" fontId="10" fillId="0" borderId="10" xfId="0" applyNumberFormat="1" applyFont="1" applyBorder="1" applyAlignment="1">
      <alignment horizontal="right"/>
    </xf>
    <xf numFmtId="49" fontId="10" fillId="0" borderId="10" xfId="0" applyNumberFormat="1" applyFont="1" applyBorder="1" applyAlignment="1">
      <alignment horizontal="center"/>
    </xf>
    <xf numFmtId="43" fontId="11" fillId="0" borderId="11" xfId="0" applyNumberFormat="1" applyFont="1" applyBorder="1" applyAlignment="1">
      <alignment/>
    </xf>
    <xf numFmtId="49" fontId="11" fillId="0" borderId="0" xfId="0" applyNumberFormat="1" applyFont="1" applyAlignment="1">
      <alignment horizontal="left"/>
    </xf>
    <xf numFmtId="43" fontId="11" fillId="0" borderId="23" xfId="0" applyNumberFormat="1" applyFont="1" applyBorder="1" applyAlignment="1">
      <alignment/>
    </xf>
    <xf numFmtId="43" fontId="11" fillId="0" borderId="24" xfId="0" applyNumberFormat="1" applyFont="1" applyBorder="1" applyAlignment="1">
      <alignment/>
    </xf>
    <xf numFmtId="43" fontId="11" fillId="0" borderId="25" xfId="0" applyNumberFormat="1" applyFont="1" applyBorder="1" applyAlignment="1">
      <alignment/>
    </xf>
    <xf numFmtId="43" fontId="11" fillId="0" borderId="10" xfId="0" applyNumberFormat="1" applyFont="1" applyBorder="1" applyAlignment="1">
      <alignment/>
    </xf>
    <xf numFmtId="43" fontId="11" fillId="0" borderId="13" xfId="0" applyNumberFormat="1" applyFont="1" applyBorder="1" applyAlignment="1">
      <alignment/>
    </xf>
    <xf numFmtId="43" fontId="11" fillId="0" borderId="26" xfId="0" applyNumberFormat="1" applyFont="1" applyBorder="1" applyAlignment="1">
      <alignment/>
    </xf>
    <xf numFmtId="43" fontId="11" fillId="0" borderId="20" xfId="0" applyNumberFormat="1" applyFont="1" applyBorder="1" applyAlignment="1">
      <alignment/>
    </xf>
    <xf numFmtId="43" fontId="11" fillId="0" borderId="27" xfId="0" applyNumberFormat="1" applyFont="1" applyBorder="1" applyAlignment="1">
      <alignment/>
    </xf>
    <xf numFmtId="43" fontId="11" fillId="0" borderId="28" xfId="0" applyNumberFormat="1" applyFont="1" applyBorder="1" applyAlignment="1">
      <alignment/>
    </xf>
    <xf numFmtId="43" fontId="11" fillId="0" borderId="29" xfId="0" applyNumberFormat="1" applyFont="1" applyBorder="1" applyAlignment="1">
      <alignment/>
    </xf>
    <xf numFmtId="43" fontId="11" fillId="0" borderId="19" xfId="0" applyNumberFormat="1" applyFont="1" applyBorder="1" applyAlignment="1">
      <alignment/>
    </xf>
    <xf numFmtId="43" fontId="11" fillId="0" borderId="30" xfId="0" applyNumberFormat="1" applyFont="1" applyBorder="1" applyAlignment="1">
      <alignment/>
    </xf>
    <xf numFmtId="43" fontId="11" fillId="0" borderId="0" xfId="0" applyNumberFormat="1" applyFont="1" applyAlignment="1">
      <alignment/>
    </xf>
    <xf numFmtId="43" fontId="11" fillId="0" borderId="31" xfId="0" applyNumberFormat="1" applyFont="1" applyBorder="1" applyAlignment="1">
      <alignment/>
    </xf>
    <xf numFmtId="43" fontId="11" fillId="0" borderId="32" xfId="0" applyNumberFormat="1" applyFont="1" applyBorder="1" applyAlignment="1">
      <alignment/>
    </xf>
    <xf numFmtId="43" fontId="11" fillId="0" borderId="33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43" fontId="11" fillId="0" borderId="34" xfId="0" applyNumberFormat="1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49" fontId="11" fillId="0" borderId="23" xfId="0" applyNumberFormat="1" applyFont="1" applyBorder="1" applyAlignment="1">
      <alignment horizontal="left"/>
    </xf>
    <xf numFmtId="49" fontId="11" fillId="0" borderId="11" xfId="0" applyNumberFormat="1" applyFont="1" applyBorder="1" applyAlignment="1">
      <alignment horizontal="left"/>
    </xf>
    <xf numFmtId="49" fontId="11" fillId="0" borderId="24" xfId="0" applyNumberFormat="1" applyFont="1" applyBorder="1" applyAlignment="1">
      <alignment horizontal="left"/>
    </xf>
    <xf numFmtId="49" fontId="11" fillId="0" borderId="35" xfId="0" applyNumberFormat="1" applyFont="1" applyBorder="1" applyAlignment="1">
      <alignment horizontal="left"/>
    </xf>
    <xf numFmtId="49" fontId="11" fillId="0" borderId="12" xfId="0" applyNumberFormat="1" applyFont="1" applyBorder="1" applyAlignment="1">
      <alignment horizontal="left"/>
    </xf>
    <xf numFmtId="4" fontId="11" fillId="0" borderId="13" xfId="0" applyNumberFormat="1" applyFont="1" applyBorder="1" applyAlignment="1">
      <alignment/>
    </xf>
    <xf numFmtId="49" fontId="11" fillId="0" borderId="32" xfId="0" applyNumberFormat="1" applyFont="1" applyBorder="1" applyAlignment="1">
      <alignment horizontal="left"/>
    </xf>
    <xf numFmtId="194" fontId="4" fillId="0" borderId="16" xfId="33" applyNumberFormat="1" applyFont="1" applyBorder="1" applyAlignment="1">
      <alignment/>
    </xf>
    <xf numFmtId="4" fontId="4" fillId="0" borderId="16" xfId="0" applyNumberFormat="1" applyFont="1" applyBorder="1" applyAlignment="1">
      <alignment horizontal="center"/>
    </xf>
    <xf numFmtId="194" fontId="4" fillId="0" borderId="16" xfId="33" applyFont="1" applyBorder="1" applyAlignment="1">
      <alignment/>
    </xf>
    <xf numFmtId="4" fontId="4" fillId="0" borderId="12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194" fontId="4" fillId="0" borderId="12" xfId="33" applyFont="1" applyBorder="1" applyAlignment="1">
      <alignment horizontal="right"/>
    </xf>
    <xf numFmtId="0" fontId="4" fillId="0" borderId="11" xfId="0" applyFont="1" applyBorder="1" applyAlignment="1" quotePrefix="1">
      <alignment horizontal="center"/>
    </xf>
    <xf numFmtId="0" fontId="3" fillId="0" borderId="11" xfId="0" applyFont="1" applyBorder="1" applyAlignment="1">
      <alignment horizontal="center"/>
    </xf>
    <xf numFmtId="194" fontId="4" fillId="33" borderId="13" xfId="33" applyFont="1" applyFill="1" applyBorder="1" applyAlignment="1">
      <alignment horizontal="right"/>
    </xf>
    <xf numFmtId="0" fontId="4" fillId="0" borderId="11" xfId="0" applyFont="1" applyBorder="1" applyAlignment="1">
      <alignment horizontal="center"/>
    </xf>
    <xf numFmtId="194" fontId="4" fillId="0" borderId="11" xfId="33" applyFont="1" applyFill="1" applyBorder="1" applyAlignment="1">
      <alignment horizontal="right"/>
    </xf>
    <xf numFmtId="0" fontId="4" fillId="0" borderId="35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3" fillId="0" borderId="11" xfId="0" applyFont="1" applyBorder="1" applyAlignment="1" quotePrefix="1">
      <alignment horizontal="center"/>
    </xf>
    <xf numFmtId="194" fontId="4" fillId="34" borderId="20" xfId="33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4" fillId="0" borderId="12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4" fillId="0" borderId="11" xfId="0" applyFont="1" applyBorder="1" applyAlignment="1">
      <alignment/>
    </xf>
    <xf numFmtId="0" fontId="13" fillId="0" borderId="35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6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49" fontId="11" fillId="0" borderId="25" xfId="0" applyNumberFormat="1" applyFont="1" applyBorder="1" applyAlignment="1">
      <alignment horizontal="left"/>
    </xf>
    <xf numFmtId="43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3" fontId="8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/>
    </xf>
    <xf numFmtId="15" fontId="17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43" fontId="17" fillId="0" borderId="10" xfId="0" applyNumberFormat="1" applyFont="1" applyBorder="1" applyAlignment="1">
      <alignment/>
    </xf>
    <xf numFmtId="15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49" fontId="17" fillId="0" borderId="0" xfId="0" applyNumberFormat="1" applyFont="1" applyAlignment="1">
      <alignment horizontal="center"/>
    </xf>
    <xf numFmtId="43" fontId="8" fillId="0" borderId="13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23" xfId="0" applyFont="1" applyBorder="1" applyAlignment="1">
      <alignment horizontal="center"/>
    </xf>
    <xf numFmtId="0" fontId="17" fillId="0" borderId="23" xfId="0" applyFont="1" applyBorder="1" applyAlignment="1">
      <alignment/>
    </xf>
    <xf numFmtId="194" fontId="17" fillId="0" borderId="23" xfId="33" applyFont="1" applyBorder="1" applyAlignment="1">
      <alignment/>
    </xf>
    <xf numFmtId="0" fontId="17" fillId="0" borderId="24" xfId="0" applyFont="1" applyBorder="1" applyAlignment="1">
      <alignment horizontal="center"/>
    </xf>
    <xf numFmtId="0" fontId="17" fillId="0" borderId="24" xfId="0" applyFont="1" applyBorder="1" applyAlignment="1">
      <alignment/>
    </xf>
    <xf numFmtId="194" fontId="17" fillId="0" borderId="24" xfId="33" applyFont="1" applyBorder="1" applyAlignment="1">
      <alignment/>
    </xf>
    <xf numFmtId="0" fontId="17" fillId="0" borderId="34" xfId="0" applyFont="1" applyBorder="1" applyAlignment="1">
      <alignment horizontal="center"/>
    </xf>
    <xf numFmtId="0" fontId="17" fillId="0" borderId="34" xfId="0" applyFont="1" applyBorder="1" applyAlignment="1">
      <alignment/>
    </xf>
    <xf numFmtId="194" fontId="17" fillId="0" borderId="34" xfId="33" applyFont="1" applyBorder="1" applyAlignment="1">
      <alignment/>
    </xf>
    <xf numFmtId="194" fontId="8" fillId="0" borderId="13" xfId="33" applyFont="1" applyBorder="1" applyAlignment="1">
      <alignment/>
    </xf>
    <xf numFmtId="0" fontId="17" fillId="0" borderId="13" xfId="0" applyFont="1" applyBorder="1" applyAlignment="1">
      <alignment/>
    </xf>
    <xf numFmtId="4" fontId="11" fillId="0" borderId="35" xfId="0" applyNumberFormat="1" applyFont="1" applyBorder="1" applyAlignment="1">
      <alignment/>
    </xf>
    <xf numFmtId="238" fontId="11" fillId="0" borderId="28" xfId="0" applyNumberFormat="1" applyFont="1" applyBorder="1" applyAlignment="1">
      <alignment/>
    </xf>
    <xf numFmtId="0" fontId="17" fillId="0" borderId="0" xfId="0" applyFont="1" applyAlignment="1">
      <alignment horizontal="center"/>
    </xf>
    <xf numFmtId="43" fontId="17" fillId="0" borderId="0" xfId="0" applyNumberFormat="1" applyFont="1" applyAlignment="1">
      <alignment horizontal="right"/>
    </xf>
    <xf numFmtId="0" fontId="13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left"/>
    </xf>
    <xf numFmtId="49" fontId="15" fillId="0" borderId="12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49" fontId="15" fillId="0" borderId="11" xfId="0" applyNumberFormat="1" applyFont="1" applyBorder="1" applyAlignment="1">
      <alignment horizontal="center"/>
    </xf>
    <xf numFmtId="49" fontId="15" fillId="0" borderId="35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0" fontId="15" fillId="0" borderId="28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49" fontId="15" fillId="0" borderId="0" xfId="0" applyNumberFormat="1" applyFont="1" applyAlignment="1">
      <alignment horizontal="center"/>
    </xf>
    <xf numFmtId="4" fontId="15" fillId="0" borderId="0" xfId="0" applyNumberFormat="1" applyFont="1" applyBorder="1" applyAlignment="1">
      <alignment/>
    </xf>
    <xf numFmtId="0" fontId="13" fillId="0" borderId="0" xfId="0" applyFont="1" applyAlignment="1">
      <alignment horizontal="center"/>
    </xf>
    <xf numFmtId="194" fontId="15" fillId="0" borderId="0" xfId="33" applyFont="1" applyBorder="1" applyAlignment="1">
      <alignment/>
    </xf>
    <xf numFmtId="194" fontId="15" fillId="0" borderId="0" xfId="33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3" fontId="5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3" fontId="7" fillId="0" borderId="10" xfId="0" applyNumberFormat="1" applyFont="1" applyBorder="1" applyAlignment="1">
      <alignment/>
    </xf>
    <xf numFmtId="43" fontId="5" fillId="0" borderId="10" xfId="0" applyNumberFormat="1" applyFont="1" applyBorder="1" applyAlignment="1">
      <alignment/>
    </xf>
    <xf numFmtId="49" fontId="7" fillId="0" borderId="0" xfId="0" applyNumberFormat="1" applyFont="1" applyAlignment="1">
      <alignment horizontal="center"/>
    </xf>
    <xf numFmtId="43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2" fontId="4" fillId="0" borderId="11" xfId="33" applyNumberFormat="1" applyFont="1" applyBorder="1" applyAlignment="1">
      <alignment horizontal="right"/>
    </xf>
    <xf numFmtId="2" fontId="4" fillId="33" borderId="13" xfId="33" applyNumberFormat="1" applyFont="1" applyFill="1" applyBorder="1" applyAlignment="1">
      <alignment horizontal="right"/>
    </xf>
    <xf numFmtId="4" fontId="4" fillId="0" borderId="11" xfId="33" applyNumberFormat="1" applyFont="1" applyBorder="1" applyAlignment="1">
      <alignment horizontal="right"/>
    </xf>
    <xf numFmtId="43" fontId="8" fillId="0" borderId="16" xfId="0" applyNumberFormat="1" applyFont="1" applyBorder="1" applyAlignment="1">
      <alignment/>
    </xf>
    <xf numFmtId="43" fontId="11" fillId="0" borderId="36" xfId="0" applyNumberFormat="1" applyFont="1" applyBorder="1" applyAlignment="1">
      <alignment/>
    </xf>
    <xf numFmtId="43" fontId="11" fillId="0" borderId="35" xfId="0" applyNumberFormat="1" applyFont="1" applyBorder="1" applyAlignment="1">
      <alignment/>
    </xf>
    <xf numFmtId="49" fontId="11" fillId="0" borderId="37" xfId="0" applyNumberFormat="1" applyFont="1" applyBorder="1" applyAlignment="1">
      <alignment horizontal="left"/>
    </xf>
    <xf numFmtId="194" fontId="11" fillId="0" borderId="27" xfId="0" applyNumberFormat="1" applyFont="1" applyBorder="1" applyAlignment="1">
      <alignment/>
    </xf>
    <xf numFmtId="194" fontId="11" fillId="0" borderId="29" xfId="0" applyNumberFormat="1" applyFont="1" applyBorder="1" applyAlignment="1">
      <alignment/>
    </xf>
    <xf numFmtId="43" fontId="11" fillId="0" borderId="38" xfId="0" applyNumberFormat="1" applyFont="1" applyBorder="1" applyAlignment="1">
      <alignment/>
    </xf>
    <xf numFmtId="49" fontId="11" fillId="0" borderId="39" xfId="0" applyNumberFormat="1" applyFont="1" applyBorder="1" applyAlignment="1">
      <alignment horizontal="left"/>
    </xf>
    <xf numFmtId="43" fontId="11" fillId="0" borderId="40" xfId="0" applyNumberFormat="1" applyFont="1" applyBorder="1" applyAlignment="1">
      <alignment/>
    </xf>
    <xf numFmtId="49" fontId="11" fillId="0" borderId="41" xfId="0" applyNumberFormat="1" applyFont="1" applyBorder="1" applyAlignment="1">
      <alignment horizontal="left"/>
    </xf>
    <xf numFmtId="43" fontId="11" fillId="0" borderId="42" xfId="0" applyNumberFormat="1" applyFont="1" applyBorder="1" applyAlignment="1">
      <alignment/>
    </xf>
    <xf numFmtId="4" fontId="11" fillId="0" borderId="12" xfId="0" applyNumberFormat="1" applyFont="1" applyBorder="1" applyAlignment="1">
      <alignment/>
    </xf>
    <xf numFmtId="0" fontId="10" fillId="0" borderId="15" xfId="0" applyFont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43" fontId="11" fillId="0" borderId="43" xfId="0" applyNumberFormat="1" applyFont="1" applyBorder="1" applyAlignment="1">
      <alignment/>
    </xf>
    <xf numFmtId="4" fontId="11" fillId="0" borderId="43" xfId="0" applyNumberFormat="1" applyFont="1" applyBorder="1" applyAlignment="1">
      <alignment/>
    </xf>
    <xf numFmtId="238" fontId="11" fillId="0" borderId="13" xfId="0" applyNumberFormat="1" applyFont="1" applyBorder="1" applyAlignment="1">
      <alignment/>
    </xf>
    <xf numFmtId="43" fontId="11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left"/>
    </xf>
    <xf numFmtId="4" fontId="11" fillId="0" borderId="0" xfId="0" applyNumberFormat="1" applyFont="1" applyBorder="1" applyAlignment="1">
      <alignment/>
    </xf>
    <xf numFmtId="194" fontId="11" fillId="0" borderId="11" xfId="33" applyFont="1" applyBorder="1" applyAlignment="1">
      <alignment/>
    </xf>
    <xf numFmtId="194" fontId="11" fillId="0" borderId="13" xfId="33" applyFont="1" applyBorder="1" applyAlignment="1">
      <alignment/>
    </xf>
    <xf numFmtId="194" fontId="11" fillId="0" borderId="10" xfId="33" applyFont="1" applyBorder="1" applyAlignment="1">
      <alignment/>
    </xf>
    <xf numFmtId="15" fontId="7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94" fontId="7" fillId="33" borderId="0" xfId="33" applyFont="1" applyFill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43" fontId="7" fillId="0" borderId="10" xfId="0" applyNumberFormat="1" applyFont="1" applyBorder="1" applyAlignment="1">
      <alignment horizontal="right"/>
    </xf>
    <xf numFmtId="43" fontId="5" fillId="0" borderId="13" xfId="0" applyNumberFormat="1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43" fontId="5" fillId="0" borderId="36" xfId="0" applyNumberFormat="1" applyFont="1" applyBorder="1" applyAlignment="1">
      <alignment horizontal="right"/>
    </xf>
    <xf numFmtId="0" fontId="15" fillId="0" borderId="11" xfId="0" applyFont="1" applyBorder="1" applyAlignment="1">
      <alignment horizontal="left"/>
    </xf>
    <xf numFmtId="43" fontId="11" fillId="0" borderId="11" xfId="33" applyNumberFormat="1" applyFont="1" applyBorder="1" applyAlignment="1">
      <alignment/>
    </xf>
    <xf numFmtId="49" fontId="11" fillId="0" borderId="44" xfId="0" applyNumberFormat="1" applyFont="1" applyBorder="1" applyAlignment="1">
      <alignment horizontal="center"/>
    </xf>
    <xf numFmtId="43" fontId="11" fillId="0" borderId="31" xfId="0" applyNumberFormat="1" applyFont="1" applyBorder="1" applyAlignment="1" quotePrefix="1">
      <alignment/>
    </xf>
    <xf numFmtId="43" fontId="11" fillId="0" borderId="24" xfId="0" applyNumberFormat="1" applyFont="1" applyBorder="1" applyAlignment="1" quotePrefix="1">
      <alignment/>
    </xf>
    <xf numFmtId="4" fontId="3" fillId="0" borderId="45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0" fontId="15" fillId="0" borderId="15" xfId="0" applyFont="1" applyBorder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20" fillId="0" borderId="14" xfId="0" applyFont="1" applyBorder="1" applyAlignment="1">
      <alignment/>
    </xf>
    <xf numFmtId="194" fontId="19" fillId="0" borderId="0" xfId="33" applyFont="1" applyAlignment="1">
      <alignment horizontal="right"/>
    </xf>
    <xf numFmtId="194" fontId="19" fillId="0" borderId="0" xfId="33" applyFont="1" applyAlignment="1">
      <alignment horizontal="center"/>
    </xf>
    <xf numFmtId="4" fontId="19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231" fontId="19" fillId="0" borderId="0" xfId="0" applyNumberFormat="1" applyFont="1" applyAlignment="1">
      <alignment horizontal="center"/>
    </xf>
    <xf numFmtId="194" fontId="12" fillId="0" borderId="0" xfId="33" applyFont="1" applyAlignment="1">
      <alignment horizontal="center"/>
    </xf>
    <xf numFmtId="194" fontId="19" fillId="0" borderId="0" xfId="33" applyFont="1" applyAlignment="1">
      <alignment horizontal="left"/>
    </xf>
    <xf numFmtId="0" fontId="21" fillId="0" borderId="0" xfId="0" applyFont="1" applyAlignment="1">
      <alignment/>
    </xf>
    <xf numFmtId="194" fontId="12" fillId="0" borderId="0" xfId="33" applyFont="1" applyAlignment="1">
      <alignment/>
    </xf>
    <xf numFmtId="49" fontId="19" fillId="0" borderId="12" xfId="0" applyNumberFormat="1" applyFont="1" applyBorder="1" applyAlignment="1">
      <alignment horizontal="center"/>
    </xf>
    <xf numFmtId="194" fontId="19" fillId="0" borderId="12" xfId="33" applyFont="1" applyBorder="1" applyAlignment="1">
      <alignment horizontal="center"/>
    </xf>
    <xf numFmtId="194" fontId="19" fillId="0" borderId="18" xfId="33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194" fontId="19" fillId="0" borderId="11" xfId="33" applyFont="1" applyBorder="1" applyAlignment="1">
      <alignment horizontal="center"/>
    </xf>
    <xf numFmtId="194" fontId="19" fillId="0" borderId="16" xfId="33" applyFont="1" applyBorder="1" applyAlignment="1">
      <alignment horizontal="left"/>
    </xf>
    <xf numFmtId="194" fontId="19" fillId="0" borderId="16" xfId="33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194" fontId="19" fillId="0" borderId="35" xfId="33" applyFont="1" applyBorder="1" applyAlignment="1">
      <alignment horizontal="center"/>
    </xf>
    <xf numFmtId="194" fontId="19" fillId="0" borderId="17" xfId="33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194" fontId="19" fillId="0" borderId="12" xfId="33" applyFont="1" applyBorder="1" applyAlignment="1">
      <alignment/>
    </xf>
    <xf numFmtId="194" fontId="19" fillId="0" borderId="11" xfId="33" applyFont="1" applyBorder="1" applyAlignment="1">
      <alignment/>
    </xf>
    <xf numFmtId="0" fontId="19" fillId="0" borderId="11" xfId="0" applyFont="1" applyBorder="1" applyAlignment="1">
      <alignment/>
    </xf>
    <xf numFmtId="194" fontId="19" fillId="0" borderId="11" xfId="0" applyNumberFormat="1" applyFont="1" applyBorder="1" applyAlignment="1">
      <alignment/>
    </xf>
    <xf numFmtId="194" fontId="19" fillId="0" borderId="35" xfId="0" applyNumberFormat="1" applyFont="1" applyBorder="1" applyAlignment="1">
      <alignment/>
    </xf>
    <xf numFmtId="194" fontId="19" fillId="0" borderId="16" xfId="0" applyNumberFormat="1" applyFont="1" applyBorder="1" applyAlignment="1">
      <alignment/>
    </xf>
    <xf numFmtId="194" fontId="19" fillId="0" borderId="10" xfId="0" applyNumberFormat="1" applyFont="1" applyBorder="1" applyAlignment="1">
      <alignment/>
    </xf>
    <xf numFmtId="49" fontId="12" fillId="0" borderId="11" xfId="0" applyNumberFormat="1" applyFont="1" applyBorder="1" applyAlignment="1">
      <alignment horizontal="center"/>
    </xf>
    <xf numFmtId="194" fontId="19" fillId="0" borderId="10" xfId="33" applyFont="1" applyBorder="1" applyAlignment="1">
      <alignment/>
    </xf>
    <xf numFmtId="194" fontId="12" fillId="0" borderId="11" xfId="0" applyNumberFormat="1" applyFont="1" applyBorder="1" applyAlignment="1">
      <alignment/>
    </xf>
    <xf numFmtId="194" fontId="22" fillId="0" borderId="11" xfId="33" applyFont="1" applyBorder="1" applyAlignment="1">
      <alignment/>
    </xf>
    <xf numFmtId="194" fontId="19" fillId="0" borderId="0" xfId="33" applyFont="1" applyBorder="1" applyAlignment="1">
      <alignment/>
    </xf>
    <xf numFmtId="194" fontId="19" fillId="0" borderId="0" xfId="0" applyNumberFormat="1" applyFont="1" applyBorder="1" applyAlignment="1">
      <alignment/>
    </xf>
    <xf numFmtId="49" fontId="19" fillId="0" borderId="0" xfId="0" applyNumberFormat="1" applyFont="1" applyBorder="1" applyAlignment="1">
      <alignment horizontal="center"/>
    </xf>
    <xf numFmtId="0" fontId="19" fillId="0" borderId="12" xfId="0" applyFont="1" applyBorder="1" applyAlignment="1">
      <alignment/>
    </xf>
    <xf numFmtId="194" fontId="19" fillId="0" borderId="12" xfId="0" applyNumberFormat="1" applyFont="1" applyBorder="1" applyAlignment="1">
      <alignment/>
    </xf>
    <xf numFmtId="194" fontId="19" fillId="0" borderId="11" xfId="0" applyNumberFormat="1" applyFont="1" applyBorder="1" applyAlignment="1">
      <alignment horizontal="center"/>
    </xf>
    <xf numFmtId="194" fontId="19" fillId="0" borderId="11" xfId="33" applyFont="1" applyBorder="1" applyAlignment="1">
      <alignment horizontal="right"/>
    </xf>
    <xf numFmtId="194" fontId="19" fillId="0" borderId="10" xfId="0" applyNumberFormat="1" applyFont="1" applyBorder="1" applyAlignment="1">
      <alignment horizontal="center"/>
    </xf>
    <xf numFmtId="194" fontId="19" fillId="0" borderId="35" xfId="33" applyFont="1" applyBorder="1" applyAlignment="1">
      <alignment/>
    </xf>
    <xf numFmtId="194" fontId="19" fillId="0" borderId="13" xfId="0" applyNumberFormat="1" applyFont="1" applyBorder="1" applyAlignment="1">
      <alignment/>
    </xf>
    <xf numFmtId="49" fontId="19" fillId="0" borderId="35" xfId="0" applyNumberFormat="1" applyFont="1" applyBorder="1" applyAlignment="1">
      <alignment horizontal="center"/>
    </xf>
    <xf numFmtId="49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left" indent="3"/>
    </xf>
    <xf numFmtId="43" fontId="19" fillId="0" borderId="0" xfId="0" applyNumberFormat="1" applyFont="1" applyAlignment="1">
      <alignment/>
    </xf>
    <xf numFmtId="194" fontId="19" fillId="0" borderId="0" xfId="33" applyFont="1" applyAlignment="1">
      <alignment/>
    </xf>
    <xf numFmtId="207" fontId="12" fillId="0" borderId="0" xfId="33" applyNumberFormat="1" applyFont="1" applyAlignment="1">
      <alignment/>
    </xf>
    <xf numFmtId="194" fontId="12" fillId="0" borderId="0" xfId="33" applyFont="1" applyAlignment="1">
      <alignment/>
    </xf>
    <xf numFmtId="194" fontId="12" fillId="0" borderId="0" xfId="33" applyFont="1" applyAlignment="1">
      <alignment horizontal="left"/>
    </xf>
    <xf numFmtId="194" fontId="21" fillId="0" borderId="0" xfId="33" applyFont="1" applyAlignment="1">
      <alignment horizontal="center"/>
    </xf>
    <xf numFmtId="49" fontId="21" fillId="0" borderId="0" xfId="0" applyNumberFormat="1" applyFont="1" applyAlignment="1">
      <alignment horizontal="center"/>
    </xf>
    <xf numFmtId="194" fontId="23" fillId="0" borderId="0" xfId="33" applyFont="1" applyAlignment="1">
      <alignment/>
    </xf>
    <xf numFmtId="194" fontId="21" fillId="0" borderId="0" xfId="33" applyFont="1" applyAlignment="1">
      <alignment/>
    </xf>
    <xf numFmtId="0" fontId="11" fillId="0" borderId="0" xfId="0" applyFont="1" applyAlignment="1">
      <alignment/>
    </xf>
    <xf numFmtId="0" fontId="24" fillId="0" borderId="0" xfId="0" applyFont="1" applyBorder="1" applyAlignment="1">
      <alignment/>
    </xf>
    <xf numFmtId="207" fontId="12" fillId="0" borderId="45" xfId="33" applyNumberFormat="1" applyFont="1" applyBorder="1" applyAlignment="1">
      <alignment/>
    </xf>
    <xf numFmtId="194" fontId="12" fillId="0" borderId="45" xfId="33" applyFont="1" applyBorder="1" applyAlignment="1">
      <alignment/>
    </xf>
    <xf numFmtId="194" fontId="12" fillId="0" borderId="45" xfId="33" applyFont="1" applyBorder="1" applyAlignment="1">
      <alignment horizontal="center"/>
    </xf>
    <xf numFmtId="194" fontId="19" fillId="0" borderId="15" xfId="33" applyFont="1" applyBorder="1" applyAlignment="1">
      <alignment horizontal="center"/>
    </xf>
    <xf numFmtId="194" fontId="19" fillId="0" borderId="15" xfId="33" applyFont="1" applyBorder="1" applyAlignment="1">
      <alignment/>
    </xf>
    <xf numFmtId="194" fontId="19" fillId="0" borderId="0" xfId="33" applyFont="1" applyBorder="1" applyAlignment="1">
      <alignment horizontal="right"/>
    </xf>
    <xf numFmtId="49" fontId="8" fillId="0" borderId="0" xfId="0" applyNumberFormat="1" applyFont="1" applyAlignment="1">
      <alignment horizontal="left"/>
    </xf>
    <xf numFmtId="0" fontId="13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7" fillId="0" borderId="0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7" fillId="0" borderId="0" xfId="0" applyFont="1" applyBorder="1" applyAlignment="1">
      <alignment/>
    </xf>
    <xf numFmtId="231" fontId="19" fillId="0" borderId="0" xfId="0" applyNumberFormat="1" applyFont="1" applyAlignment="1">
      <alignment horizontal="center"/>
    </xf>
    <xf numFmtId="194" fontId="19" fillId="0" borderId="0" xfId="33" applyFont="1" applyAlignment="1">
      <alignment horizontal="center"/>
    </xf>
    <xf numFmtId="194" fontId="12" fillId="0" borderId="0" xfId="33" applyFont="1" applyAlignment="1">
      <alignment horizontal="left"/>
    </xf>
    <xf numFmtId="194" fontId="19" fillId="0" borderId="0" xfId="33" applyFont="1" applyAlignment="1">
      <alignment horizontal="left"/>
    </xf>
    <xf numFmtId="194" fontId="12" fillId="0" borderId="0" xfId="33" applyFont="1" applyAlignment="1">
      <alignment horizontal="center"/>
    </xf>
    <xf numFmtId="0" fontId="19" fillId="0" borderId="0" xfId="0" applyFont="1" applyAlignment="1">
      <alignment horizontal="center"/>
    </xf>
    <xf numFmtId="194" fontId="12" fillId="0" borderId="0" xfId="33" applyFont="1" applyAlignment="1">
      <alignment horizontal="right"/>
    </xf>
    <xf numFmtId="194" fontId="19" fillId="0" borderId="19" xfId="33" applyFont="1" applyBorder="1" applyAlignment="1">
      <alignment horizontal="center"/>
    </xf>
    <xf numFmtId="194" fontId="19" fillId="0" borderId="46" xfId="33" applyFont="1" applyBorder="1" applyAlignment="1">
      <alignment horizontal="center"/>
    </xf>
    <xf numFmtId="194" fontId="19" fillId="0" borderId="44" xfId="33" applyFont="1" applyBorder="1" applyAlignment="1">
      <alignment horizontal="center"/>
    </xf>
    <xf numFmtId="0" fontId="19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46" xfId="0" applyFont="1" applyFill="1" applyBorder="1" applyAlignment="1">
      <alignment horizontal="center"/>
    </xf>
    <xf numFmtId="0" fontId="3" fillId="33" borderId="4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15" xfId="0" applyFont="1" applyFill="1" applyBorder="1" applyAlignment="1">
      <alignment horizontal="center"/>
    </xf>
    <xf numFmtId="23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8" fillId="0" borderId="16" xfId="0" applyNumberFormat="1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9" fontId="8" fillId="0" borderId="0" xfId="0" applyNumberFormat="1" applyFont="1" applyAlignment="1">
      <alignment horizontal="left"/>
    </xf>
    <xf numFmtId="49" fontId="11" fillId="0" borderId="12" xfId="0" applyNumberFormat="1" applyFont="1" applyBorder="1" applyAlignment="1">
      <alignment horizontal="center" vertical="center"/>
    </xf>
    <xf numFmtId="49" fontId="11" fillId="0" borderId="35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/>
    </xf>
    <xf numFmtId="49" fontId="11" fillId="0" borderId="19" xfId="0" applyNumberFormat="1" applyFont="1" applyBorder="1" applyAlignment="1">
      <alignment horizontal="center"/>
    </xf>
    <xf numFmtId="49" fontId="11" fillId="0" borderId="44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477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191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42950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60095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38100</xdr:rowOff>
    </xdr:from>
    <xdr:to>
      <xdr:col>16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82772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28575</xdr:rowOff>
    </xdr:from>
    <xdr:to>
      <xdr:col>16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82772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38100</xdr:rowOff>
    </xdr:from>
    <xdr:to>
      <xdr:col>16</xdr:col>
      <xdr:colOff>0</xdr:colOff>
      <xdr:row>42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82772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28575</xdr:rowOff>
    </xdr:from>
    <xdr:to>
      <xdr:col>16</xdr:col>
      <xdr:colOff>0</xdr:colOff>
      <xdr:row>43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82772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42950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60095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38100</xdr:rowOff>
    </xdr:from>
    <xdr:to>
      <xdr:col>16</xdr:col>
      <xdr:colOff>0</xdr:colOff>
      <xdr:row>42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82772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28575</xdr:rowOff>
    </xdr:from>
    <xdr:to>
      <xdr:col>16</xdr:col>
      <xdr:colOff>0</xdr:colOff>
      <xdr:row>43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82772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38100</xdr:rowOff>
    </xdr:from>
    <xdr:to>
      <xdr:col>16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82772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28575</xdr:rowOff>
    </xdr:from>
    <xdr:to>
      <xdr:col>16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82772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38100</xdr:rowOff>
    </xdr:from>
    <xdr:to>
      <xdr:col>16</xdr:col>
      <xdr:colOff>0</xdr:colOff>
      <xdr:row>42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82772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28575</xdr:rowOff>
    </xdr:from>
    <xdr:to>
      <xdr:col>16</xdr:col>
      <xdr:colOff>0</xdr:colOff>
      <xdr:row>43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82772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38100</xdr:rowOff>
    </xdr:from>
    <xdr:to>
      <xdr:col>16</xdr:col>
      <xdr:colOff>0</xdr:colOff>
      <xdr:row>42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82772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28575</xdr:rowOff>
    </xdr:from>
    <xdr:to>
      <xdr:col>16</xdr:col>
      <xdr:colOff>0</xdr:colOff>
      <xdr:row>43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82772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42950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60095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38100</xdr:rowOff>
    </xdr:from>
    <xdr:to>
      <xdr:col>16</xdr:col>
      <xdr:colOff>0</xdr:colOff>
      <xdr:row>42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82772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28575</xdr:rowOff>
    </xdr:from>
    <xdr:to>
      <xdr:col>16</xdr:col>
      <xdr:colOff>0</xdr:colOff>
      <xdr:row>43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82772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38100</xdr:rowOff>
    </xdr:from>
    <xdr:to>
      <xdr:col>16</xdr:col>
      <xdr:colOff>0</xdr:colOff>
      <xdr:row>42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82772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28575</xdr:rowOff>
    </xdr:from>
    <xdr:to>
      <xdr:col>16</xdr:col>
      <xdr:colOff>0</xdr:colOff>
      <xdr:row>43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82772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38100</xdr:rowOff>
    </xdr:from>
    <xdr:to>
      <xdr:col>1</xdr:col>
      <xdr:colOff>0</xdr:colOff>
      <xdr:row>6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10572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28575</xdr:rowOff>
    </xdr:from>
    <xdr:to>
      <xdr:col>0</xdr:col>
      <xdr:colOff>828675</xdr:colOff>
      <xdr:row>7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2287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5533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7247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83042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99235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38100</xdr:rowOff>
    </xdr:from>
    <xdr:to>
      <xdr:col>15</xdr:col>
      <xdr:colOff>0</xdr:colOff>
      <xdr:row>6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7781925" y="10572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28575</xdr:rowOff>
    </xdr:from>
    <xdr:to>
      <xdr:col>15</xdr:col>
      <xdr:colOff>0</xdr:colOff>
      <xdr:row>7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7781925" y="12287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5533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7247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83042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99235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83042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99235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38100</xdr:rowOff>
    </xdr:from>
    <xdr:to>
      <xdr:col>15</xdr:col>
      <xdr:colOff>0</xdr:colOff>
      <xdr:row>6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7781925" y="10572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28575</xdr:rowOff>
    </xdr:from>
    <xdr:to>
      <xdr:col>15</xdr:col>
      <xdr:colOff>0</xdr:colOff>
      <xdr:row>7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7781925" y="12287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5533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7247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83042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99235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477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191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77819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77819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77819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77819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477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191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77819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77819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77819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77819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7"/>
  <sheetViews>
    <sheetView view="pageBreakPreview" zoomScaleSheetLayoutView="100" workbookViewId="0" topLeftCell="A1">
      <selection activeCell="C48" sqref="C48"/>
    </sheetView>
  </sheetViews>
  <sheetFormatPr defaultColWidth="9.140625" defaultRowHeight="16.5" customHeight="1"/>
  <cols>
    <col min="1" max="1" width="65.28125" style="157" customWidth="1"/>
    <col min="2" max="2" width="6.57421875" style="170" customWidth="1"/>
    <col min="3" max="3" width="13.28125" style="12" customWidth="1"/>
    <col min="4" max="4" width="14.28125" style="8" customWidth="1"/>
    <col min="5" max="5" width="10.8515625" style="157" bestFit="1" customWidth="1"/>
    <col min="6" max="6" width="11.140625" style="157" bestFit="1" customWidth="1"/>
    <col min="7" max="16384" width="9.140625" style="157" customWidth="1"/>
  </cols>
  <sheetData>
    <row r="1" spans="1:4" ht="16.5" customHeight="1">
      <c r="A1" s="299" t="s">
        <v>0</v>
      </c>
      <c r="B1" s="299"/>
      <c r="C1" s="299"/>
      <c r="D1" s="299"/>
    </row>
    <row r="2" spans="1:4" ht="16.5" customHeight="1">
      <c r="A2" s="299" t="s">
        <v>1</v>
      </c>
      <c r="B2" s="299"/>
      <c r="C2" s="299"/>
      <c r="D2" s="299"/>
    </row>
    <row r="3" spans="1:4" ht="16.5" customHeight="1">
      <c r="A3" s="299" t="s">
        <v>556</v>
      </c>
      <c r="B3" s="299"/>
      <c r="C3" s="299"/>
      <c r="D3" s="299"/>
    </row>
    <row r="4" spans="1:4" s="160" customFormat="1" ht="16.5" customHeight="1">
      <c r="A4" s="158" t="s">
        <v>2</v>
      </c>
      <c r="B4" s="159" t="s">
        <v>3</v>
      </c>
      <c r="C4" s="45" t="s">
        <v>4</v>
      </c>
      <c r="D4" s="3" t="s">
        <v>5</v>
      </c>
    </row>
    <row r="5" spans="1:4" s="160" customFormat="1" ht="16.5" customHeight="1">
      <c r="A5" s="161" t="s">
        <v>93</v>
      </c>
      <c r="B5" s="162" t="s">
        <v>270</v>
      </c>
      <c r="C5" s="99">
        <v>88</v>
      </c>
      <c r="D5" s="97"/>
    </row>
    <row r="6" spans="1:4" s="160" customFormat="1" ht="16.5" customHeight="1">
      <c r="A6" s="163" t="s">
        <v>368</v>
      </c>
      <c r="B6" s="164" t="s">
        <v>530</v>
      </c>
      <c r="C6" s="47">
        <v>10212184.55</v>
      </c>
      <c r="D6" s="97"/>
    </row>
    <row r="7" spans="1:4" ht="16.5" customHeight="1">
      <c r="A7" s="163" t="s">
        <v>73</v>
      </c>
      <c r="B7" s="164" t="s">
        <v>530</v>
      </c>
      <c r="C7" s="47">
        <v>7295990.77</v>
      </c>
      <c r="D7" s="97"/>
    </row>
    <row r="8" spans="1:4" ht="16.5" customHeight="1">
      <c r="A8" s="163" t="s">
        <v>74</v>
      </c>
      <c r="B8" s="164" t="s">
        <v>530</v>
      </c>
      <c r="C8" s="47">
        <v>104198.04</v>
      </c>
      <c r="D8" s="46"/>
    </row>
    <row r="9" spans="1:4" ht="16.5" customHeight="1">
      <c r="A9" s="163" t="s">
        <v>375</v>
      </c>
      <c r="B9" s="164" t="s">
        <v>530</v>
      </c>
      <c r="C9" s="47">
        <v>5146644.2</v>
      </c>
      <c r="D9" s="46"/>
    </row>
    <row r="10" spans="1:4" ht="16.5" customHeight="1">
      <c r="A10" s="163" t="s">
        <v>75</v>
      </c>
      <c r="B10" s="164" t="s">
        <v>531</v>
      </c>
      <c r="C10" s="47">
        <v>12809280.45</v>
      </c>
      <c r="D10" s="46"/>
    </row>
    <row r="11" spans="1:4" ht="16.5" customHeight="1">
      <c r="A11" s="163" t="s">
        <v>31</v>
      </c>
      <c r="B11" s="164" t="s">
        <v>532</v>
      </c>
      <c r="C11" s="47">
        <v>506484</v>
      </c>
      <c r="D11" s="46"/>
    </row>
    <row r="12" spans="1:4" ht="16.5" customHeight="1">
      <c r="A12" s="163" t="s">
        <v>341</v>
      </c>
      <c r="B12" s="164" t="s">
        <v>533</v>
      </c>
      <c r="C12" s="47">
        <v>2405640</v>
      </c>
      <c r="D12" s="46"/>
    </row>
    <row r="13" spans="1:4" ht="16.5" customHeight="1">
      <c r="A13" s="163" t="s">
        <v>342</v>
      </c>
      <c r="B13" s="164" t="s">
        <v>534</v>
      </c>
      <c r="C13" s="47">
        <v>3373918</v>
      </c>
      <c r="D13" s="46"/>
    </row>
    <row r="14" spans="1:4" ht="16.5" customHeight="1">
      <c r="A14" s="163" t="s">
        <v>343</v>
      </c>
      <c r="B14" s="164" t="s">
        <v>534</v>
      </c>
      <c r="C14" s="47">
        <v>127455</v>
      </c>
      <c r="D14" s="46"/>
    </row>
    <row r="15" spans="1:4" ht="16.5" customHeight="1">
      <c r="A15" s="163" t="s">
        <v>344</v>
      </c>
      <c r="B15" s="164" t="s">
        <v>534</v>
      </c>
      <c r="C15" s="47">
        <v>1043384</v>
      </c>
      <c r="D15" s="46"/>
    </row>
    <row r="16" spans="1:4" ht="16.5" customHeight="1">
      <c r="A16" s="163" t="s">
        <v>6</v>
      </c>
      <c r="B16" s="164" t="s">
        <v>535</v>
      </c>
      <c r="C16" s="47">
        <v>277751</v>
      </c>
      <c r="D16" s="46"/>
    </row>
    <row r="17" spans="1:4" ht="16.5" customHeight="1">
      <c r="A17" s="163" t="s">
        <v>7</v>
      </c>
      <c r="B17" s="164" t="s">
        <v>371</v>
      </c>
      <c r="C17" s="47">
        <v>2118858.4</v>
      </c>
      <c r="D17" s="46"/>
    </row>
    <row r="18" spans="1:4" ht="16.5" customHeight="1">
      <c r="A18" s="163" t="s">
        <v>8</v>
      </c>
      <c r="B18" s="164" t="s">
        <v>536</v>
      </c>
      <c r="C18" s="47">
        <v>1068041.28</v>
      </c>
      <c r="D18" s="46"/>
    </row>
    <row r="19" spans="1:4" ht="16.5" customHeight="1">
      <c r="A19" s="163" t="s">
        <v>9</v>
      </c>
      <c r="B19" s="164" t="s">
        <v>537</v>
      </c>
      <c r="C19" s="47">
        <v>211295.94</v>
      </c>
      <c r="D19" s="46"/>
    </row>
    <row r="20" spans="1:4" ht="16.5" customHeight="1">
      <c r="A20" s="161" t="s">
        <v>54</v>
      </c>
      <c r="B20" s="164" t="s">
        <v>538</v>
      </c>
      <c r="C20" s="47">
        <v>162918.55</v>
      </c>
      <c r="D20" s="46"/>
    </row>
    <row r="21" spans="1:4" ht="16.5" customHeight="1">
      <c r="A21" s="161" t="s">
        <v>55</v>
      </c>
      <c r="B21" s="164" t="s">
        <v>353</v>
      </c>
      <c r="C21" s="47">
        <v>195370</v>
      </c>
      <c r="D21" s="46"/>
    </row>
    <row r="22" spans="1:4" ht="16.5" customHeight="1">
      <c r="A22" s="161" t="s">
        <v>32</v>
      </c>
      <c r="B22" s="164" t="s">
        <v>539</v>
      </c>
      <c r="C22" s="47">
        <v>2109600</v>
      </c>
      <c r="D22" s="46"/>
    </row>
    <row r="23" spans="1:4" ht="16.5" customHeight="1">
      <c r="A23" s="161" t="s">
        <v>557</v>
      </c>
      <c r="B23" s="164" t="s">
        <v>547</v>
      </c>
      <c r="C23" s="47">
        <v>86400</v>
      </c>
      <c r="D23" s="46"/>
    </row>
    <row r="24" spans="1:4" ht="16.5" customHeight="1">
      <c r="A24" s="163" t="s">
        <v>345</v>
      </c>
      <c r="B24" s="164" t="s">
        <v>541</v>
      </c>
      <c r="C24" s="47">
        <v>1400.86</v>
      </c>
      <c r="D24" s="46"/>
    </row>
    <row r="25" spans="1:4" ht="16.5" customHeight="1">
      <c r="A25" s="161" t="s">
        <v>529</v>
      </c>
      <c r="B25" s="164" t="s">
        <v>542</v>
      </c>
      <c r="C25" s="47">
        <v>1031560</v>
      </c>
      <c r="D25" s="46"/>
    </row>
    <row r="26" spans="1:4" ht="16.5" customHeight="1">
      <c r="A26" s="163" t="s">
        <v>494</v>
      </c>
      <c r="B26" s="164" t="s">
        <v>436</v>
      </c>
      <c r="C26" s="47">
        <v>94236</v>
      </c>
      <c r="D26" s="46"/>
    </row>
    <row r="27" spans="1:4" ht="16.5" customHeight="1">
      <c r="A27" s="163" t="s">
        <v>435</v>
      </c>
      <c r="B27" s="164" t="s">
        <v>436</v>
      </c>
      <c r="C27" s="47">
        <v>133989</v>
      </c>
      <c r="D27" s="46"/>
    </row>
    <row r="28" spans="1:4" ht="16.5" customHeight="1">
      <c r="A28" s="163" t="s">
        <v>487</v>
      </c>
      <c r="B28" s="164" t="s">
        <v>436</v>
      </c>
      <c r="C28" s="47">
        <v>6700</v>
      </c>
      <c r="D28" s="46"/>
    </row>
    <row r="29" spans="1:4" ht="16.5" customHeight="1">
      <c r="A29" s="161" t="s">
        <v>11</v>
      </c>
      <c r="B29" s="164" t="s">
        <v>369</v>
      </c>
      <c r="C29" s="47"/>
      <c r="D29" s="46">
        <v>21294387.55</v>
      </c>
    </row>
    <row r="30" spans="1:4" ht="16.5" customHeight="1">
      <c r="A30" s="163" t="s">
        <v>374</v>
      </c>
      <c r="B30" s="164" t="s">
        <v>373</v>
      </c>
      <c r="C30" s="47"/>
      <c r="D30" s="98">
        <v>64135</v>
      </c>
    </row>
    <row r="31" spans="1:4" ht="16.5" customHeight="1">
      <c r="A31" s="163" t="s">
        <v>346</v>
      </c>
      <c r="B31" s="164" t="s">
        <v>355</v>
      </c>
      <c r="C31" s="47"/>
      <c r="D31" s="96">
        <v>1602332.5</v>
      </c>
    </row>
    <row r="32" spans="1:4" ht="16.5" customHeight="1">
      <c r="A32" s="163" t="s">
        <v>10</v>
      </c>
      <c r="B32" s="164" t="s">
        <v>370</v>
      </c>
      <c r="C32" s="47"/>
      <c r="D32" s="46">
        <v>12820094.54</v>
      </c>
    </row>
    <row r="33" spans="1:4" ht="16.5" customHeight="1">
      <c r="A33" s="163" t="s">
        <v>130</v>
      </c>
      <c r="B33" s="164" t="s">
        <v>371</v>
      </c>
      <c r="C33" s="47"/>
      <c r="D33" s="46">
        <v>12809280.45</v>
      </c>
    </row>
    <row r="34" spans="1:4" ht="16.5" customHeight="1">
      <c r="A34" s="163" t="s">
        <v>433</v>
      </c>
      <c r="B34" s="164" t="s">
        <v>436</v>
      </c>
      <c r="C34" s="47"/>
      <c r="D34" s="46">
        <v>1247800</v>
      </c>
    </row>
    <row r="35" spans="1:4" ht="16.5" customHeight="1">
      <c r="A35" s="163" t="s">
        <v>434</v>
      </c>
      <c r="B35" s="164" t="s">
        <v>436</v>
      </c>
      <c r="C35" s="47"/>
      <c r="D35" s="46">
        <v>0</v>
      </c>
    </row>
    <row r="36" spans="1:4" ht="16.5" customHeight="1">
      <c r="A36" s="163" t="s">
        <v>439</v>
      </c>
      <c r="B36" s="164" t="s">
        <v>436</v>
      </c>
      <c r="C36" s="47"/>
      <c r="D36" s="46">
        <v>209675</v>
      </c>
    </row>
    <row r="37" spans="1:4" ht="16.5" customHeight="1">
      <c r="A37" s="163" t="s">
        <v>437</v>
      </c>
      <c r="B37" s="164" t="s">
        <v>436</v>
      </c>
      <c r="C37" s="47"/>
      <c r="D37" s="46">
        <v>380248</v>
      </c>
    </row>
    <row r="38" spans="1:4" ht="16.5" customHeight="1">
      <c r="A38" s="163" t="s">
        <v>438</v>
      </c>
      <c r="B38" s="164" t="s">
        <v>436</v>
      </c>
      <c r="C38" s="47"/>
      <c r="D38" s="46">
        <v>71435</v>
      </c>
    </row>
    <row r="39" spans="1:4" ht="16.5" customHeight="1">
      <c r="A39" s="163" t="s">
        <v>485</v>
      </c>
      <c r="B39" s="164" t="s">
        <v>436</v>
      </c>
      <c r="C39" s="47"/>
      <c r="D39" s="46">
        <v>14000</v>
      </c>
    </row>
    <row r="40" spans="1:4" ht="16.5" customHeight="1">
      <c r="A40" s="163" t="s">
        <v>486</v>
      </c>
      <c r="B40" s="164" t="s">
        <v>436</v>
      </c>
      <c r="C40" s="47"/>
      <c r="D40" s="46">
        <v>10000</v>
      </c>
    </row>
    <row r="41" spans="1:4" ht="16.5" customHeight="1">
      <c r="A41" s="163"/>
      <c r="B41" s="165"/>
      <c r="C41" s="47"/>
      <c r="D41" s="47"/>
    </row>
    <row r="42" spans="2:5" ht="16.5" customHeight="1">
      <c r="B42" s="166"/>
      <c r="C42" s="6">
        <f>SUM(C5:C41)</f>
        <v>50523388.03999999</v>
      </c>
      <c r="D42" s="7">
        <f>SUM(D29:D41)</f>
        <v>50523388.04000001</v>
      </c>
      <c r="E42" s="167"/>
    </row>
    <row r="43" spans="2:5" ht="16.5" customHeight="1">
      <c r="B43" s="166"/>
      <c r="C43" s="214"/>
      <c r="E43" s="163"/>
    </row>
    <row r="44" spans="1:4" ht="16.5" customHeight="1">
      <c r="A44" s="301" t="s">
        <v>123</v>
      </c>
      <c r="B44" s="301"/>
      <c r="C44" s="301"/>
      <c r="D44" s="301"/>
    </row>
    <row r="45" spans="1:4" ht="16.5" customHeight="1">
      <c r="A45" s="301" t="s">
        <v>124</v>
      </c>
      <c r="B45" s="301"/>
      <c r="C45" s="301"/>
      <c r="D45" s="301"/>
    </row>
    <row r="46" spans="1:4" ht="16.5" customHeight="1">
      <c r="A46" s="169" t="s">
        <v>122</v>
      </c>
      <c r="B46" s="168"/>
      <c r="C46" s="10"/>
      <c r="D46" s="10"/>
    </row>
    <row r="47" spans="1:4" ht="16.5" customHeight="1">
      <c r="A47" s="169"/>
      <c r="B47" s="168"/>
      <c r="C47" s="10"/>
      <c r="D47" s="10"/>
    </row>
    <row r="48" spans="1:4" ht="16.5" customHeight="1">
      <c r="A48" s="160" t="s">
        <v>121</v>
      </c>
      <c r="B48" s="160"/>
      <c r="C48" s="4"/>
      <c r="D48" s="4"/>
    </row>
    <row r="49" spans="1:4" ht="16.5" customHeight="1">
      <c r="A49" s="160" t="s">
        <v>15</v>
      </c>
      <c r="B49" s="160"/>
      <c r="C49" s="4"/>
      <c r="D49" s="4"/>
    </row>
    <row r="50" spans="1:4" ht="16.5" customHeight="1">
      <c r="A50" s="156" t="s">
        <v>587</v>
      </c>
      <c r="B50" s="156"/>
      <c r="C50" s="86"/>
      <c r="D50" s="86"/>
    </row>
    <row r="51" spans="1:4" ht="16.5" customHeight="1">
      <c r="A51" s="156"/>
      <c r="B51" s="156"/>
      <c r="C51" s="86"/>
      <c r="D51" s="86"/>
    </row>
    <row r="52" spans="1:4" ht="16.5" customHeight="1">
      <c r="A52" s="156"/>
      <c r="B52" s="156"/>
      <c r="C52" s="86"/>
      <c r="D52" s="86"/>
    </row>
    <row r="53" spans="1:4" ht="16.5" customHeight="1">
      <c r="A53" s="156"/>
      <c r="B53" s="156"/>
      <c r="C53" s="86"/>
      <c r="D53" s="86"/>
    </row>
    <row r="54" spans="1:4" ht="16.5" customHeight="1">
      <c r="A54" s="156"/>
      <c r="B54" s="156"/>
      <c r="C54" s="86"/>
      <c r="D54" s="86"/>
    </row>
    <row r="55" spans="1:4" ht="16.5" customHeight="1">
      <c r="A55" s="299" t="s">
        <v>57</v>
      </c>
      <c r="B55" s="299"/>
      <c r="C55" s="299"/>
      <c r="D55" s="299"/>
    </row>
    <row r="56" spans="1:4" ht="16.5" customHeight="1">
      <c r="A56" s="300" t="s">
        <v>505</v>
      </c>
      <c r="B56" s="300"/>
      <c r="C56" s="300"/>
      <c r="D56" s="300"/>
    </row>
    <row r="57" spans="1:4" ht="16.5" customHeight="1">
      <c r="A57" s="300" t="s">
        <v>559</v>
      </c>
      <c r="B57" s="300"/>
      <c r="C57" s="300"/>
      <c r="D57" s="300"/>
    </row>
    <row r="58" spans="1:4" ht="16.5" customHeight="1">
      <c r="A58" s="160"/>
      <c r="B58" s="160"/>
      <c r="C58" s="160"/>
      <c r="D58" s="160"/>
    </row>
    <row r="59" spans="1:4" ht="16.5" customHeight="1">
      <c r="A59" s="169" t="s">
        <v>506</v>
      </c>
      <c r="B59" s="160"/>
      <c r="C59" s="160"/>
      <c r="D59" s="160"/>
    </row>
    <row r="60" spans="1:4" ht="16.5" customHeight="1">
      <c r="A60" s="169"/>
      <c r="B60" s="160"/>
      <c r="C60" s="160"/>
      <c r="D60" s="160" t="s">
        <v>70</v>
      </c>
    </row>
    <row r="61" spans="1:4" ht="16.5" customHeight="1">
      <c r="A61" s="169" t="s">
        <v>17</v>
      </c>
      <c r="B61" s="160"/>
      <c r="C61" s="4"/>
      <c r="D61" s="49">
        <v>423471</v>
      </c>
    </row>
    <row r="62" spans="1:4" ht="16.5" customHeight="1">
      <c r="A62" s="169" t="s">
        <v>376</v>
      </c>
      <c r="B62" s="160"/>
      <c r="C62" s="4"/>
      <c r="D62" s="49">
        <v>12962.4</v>
      </c>
    </row>
    <row r="63" spans="1:4" ht="16.5" customHeight="1">
      <c r="A63" s="157" t="s">
        <v>18</v>
      </c>
      <c r="D63" s="8">
        <v>7641.06</v>
      </c>
    </row>
    <row r="64" spans="1:4" ht="16.5" customHeight="1">
      <c r="A64" s="169" t="s">
        <v>76</v>
      </c>
      <c r="D64" s="8">
        <v>1135758.04</v>
      </c>
    </row>
    <row r="65" spans="1:4" ht="16.5" customHeight="1">
      <c r="A65" s="163" t="s">
        <v>558</v>
      </c>
      <c r="D65" s="8">
        <v>22500</v>
      </c>
    </row>
    <row r="66" spans="1:7" ht="16.5" customHeight="1">
      <c r="A66" s="163" t="s">
        <v>462</v>
      </c>
      <c r="D66" s="228">
        <v>0</v>
      </c>
      <c r="G66" s="229"/>
    </row>
    <row r="67" spans="1:4" ht="16.5" customHeight="1" thickBot="1">
      <c r="A67" s="163"/>
      <c r="C67" s="12" t="s">
        <v>19</v>
      </c>
      <c r="D67" s="227">
        <f>SUM(D61:D66)</f>
        <v>1602332.5</v>
      </c>
    </row>
    <row r="68" spans="1:4" ht="16.5" customHeight="1" thickTop="1">
      <c r="A68" s="172"/>
      <c r="D68" s="13"/>
    </row>
    <row r="69" spans="1:4" ht="16.5" customHeight="1">
      <c r="A69" s="172"/>
      <c r="D69" s="13"/>
    </row>
    <row r="70" spans="1:4" ht="16.5" customHeight="1">
      <c r="A70" s="172"/>
      <c r="D70" s="13"/>
    </row>
    <row r="71" spans="1:4" ht="16.5" customHeight="1">
      <c r="A71" s="172"/>
      <c r="D71" s="13"/>
    </row>
    <row r="72" spans="1:4" ht="16.5" customHeight="1">
      <c r="A72" s="172"/>
      <c r="D72" s="13"/>
    </row>
    <row r="73" spans="1:4" ht="16.5" customHeight="1">
      <c r="A73" s="172"/>
      <c r="D73" s="13"/>
    </row>
    <row r="74" spans="1:4" ht="16.5" customHeight="1">
      <c r="A74" s="160"/>
      <c r="D74" s="13"/>
    </row>
    <row r="75" spans="2:4" ht="16.5" customHeight="1">
      <c r="B75" s="157"/>
      <c r="C75" s="2"/>
      <c r="D75" s="2"/>
    </row>
    <row r="76" spans="2:4" ht="16.5" customHeight="1">
      <c r="B76" s="157"/>
      <c r="C76" s="2"/>
      <c r="D76" s="2"/>
    </row>
    <row r="77" spans="2:4" ht="16.5" customHeight="1">
      <c r="B77" s="157"/>
      <c r="C77" s="2"/>
      <c r="D77" s="2"/>
    </row>
    <row r="78" spans="2:4" ht="16.5" customHeight="1">
      <c r="B78" s="157"/>
      <c r="C78" s="2"/>
      <c r="D78" s="2"/>
    </row>
    <row r="79" spans="2:4" ht="16.5" customHeight="1">
      <c r="B79" s="157"/>
      <c r="C79" s="2"/>
      <c r="D79" s="2"/>
    </row>
    <row r="80" spans="2:4" ht="16.5" customHeight="1">
      <c r="B80" s="157"/>
      <c r="C80" s="2"/>
      <c r="D80" s="2"/>
    </row>
    <row r="81" spans="2:4" ht="16.5" customHeight="1">
      <c r="B81" s="157"/>
      <c r="C81" s="2"/>
      <c r="D81" s="2"/>
    </row>
    <row r="82" spans="2:4" ht="16.5" customHeight="1">
      <c r="B82" s="157"/>
      <c r="C82" s="2"/>
      <c r="D82" s="2"/>
    </row>
    <row r="83" spans="2:4" ht="16.5" customHeight="1">
      <c r="B83" s="157"/>
      <c r="C83" s="2"/>
      <c r="D83" s="2"/>
    </row>
    <row r="84" spans="2:4" ht="16.5" customHeight="1">
      <c r="B84" s="157"/>
      <c r="C84" s="2"/>
      <c r="D84" s="2"/>
    </row>
    <row r="85" spans="2:4" ht="16.5" customHeight="1">
      <c r="B85" s="157"/>
      <c r="C85" s="2"/>
      <c r="D85" s="2"/>
    </row>
    <row r="86" spans="2:4" ht="16.5" customHeight="1">
      <c r="B86" s="157"/>
      <c r="C86" s="2"/>
      <c r="D86" s="2"/>
    </row>
    <row r="87" spans="2:4" ht="16.5" customHeight="1">
      <c r="B87" s="157"/>
      <c r="C87" s="2"/>
      <c r="D87" s="2"/>
    </row>
    <row r="88" spans="2:4" ht="16.5" customHeight="1">
      <c r="B88" s="157"/>
      <c r="C88" s="2"/>
      <c r="D88" s="2"/>
    </row>
    <row r="89" spans="2:4" ht="16.5" customHeight="1">
      <c r="B89" s="157"/>
      <c r="C89" s="2"/>
      <c r="D89" s="2"/>
    </row>
    <row r="90" spans="2:4" ht="16.5" customHeight="1">
      <c r="B90" s="157"/>
      <c r="C90" s="2"/>
      <c r="D90" s="2"/>
    </row>
    <row r="91" spans="2:4" ht="16.5" customHeight="1">
      <c r="B91" s="157"/>
      <c r="C91" s="2"/>
      <c r="D91" s="2"/>
    </row>
    <row r="92" spans="2:4" ht="16.5" customHeight="1">
      <c r="B92" s="157"/>
      <c r="C92" s="2"/>
      <c r="D92" s="2"/>
    </row>
    <row r="93" spans="2:4" ht="16.5" customHeight="1">
      <c r="B93" s="157"/>
      <c r="C93" s="2"/>
      <c r="D93" s="2"/>
    </row>
    <row r="94" spans="2:4" ht="16.5" customHeight="1">
      <c r="B94" s="157"/>
      <c r="C94" s="2"/>
      <c r="D94" s="2"/>
    </row>
    <row r="95" spans="2:4" ht="16.5" customHeight="1">
      <c r="B95" s="157"/>
      <c r="C95" s="2"/>
      <c r="D95" s="2"/>
    </row>
    <row r="96" spans="2:4" ht="16.5" customHeight="1">
      <c r="B96" s="157"/>
      <c r="C96" s="2"/>
      <c r="D96" s="2"/>
    </row>
    <row r="97" spans="2:4" ht="16.5" customHeight="1">
      <c r="B97" s="157"/>
      <c r="C97" s="2"/>
      <c r="D97" s="2"/>
    </row>
    <row r="98" spans="2:4" ht="16.5" customHeight="1">
      <c r="B98" s="157"/>
      <c r="C98" s="2"/>
      <c r="D98" s="2"/>
    </row>
    <row r="99" spans="2:4" ht="16.5" customHeight="1">
      <c r="B99" s="157"/>
      <c r="C99" s="2"/>
      <c r="D99" s="2"/>
    </row>
    <row r="100" spans="2:4" ht="16.5" customHeight="1">
      <c r="B100" s="157"/>
      <c r="C100" s="2"/>
      <c r="D100" s="2"/>
    </row>
    <row r="101" spans="2:4" ht="16.5" customHeight="1">
      <c r="B101" s="157"/>
      <c r="C101" s="2"/>
      <c r="D101" s="2"/>
    </row>
    <row r="102" spans="2:4" ht="16.5" customHeight="1">
      <c r="B102" s="157"/>
      <c r="C102" s="2"/>
      <c r="D102" s="2"/>
    </row>
    <row r="103" spans="2:4" ht="16.5" customHeight="1">
      <c r="B103" s="157"/>
      <c r="C103" s="2"/>
      <c r="D103" s="2"/>
    </row>
    <row r="104" spans="2:4" ht="16.5" customHeight="1">
      <c r="B104" s="157"/>
      <c r="C104" s="2"/>
      <c r="D104" s="2"/>
    </row>
    <row r="105" spans="2:4" ht="16.5" customHeight="1">
      <c r="B105" s="157"/>
      <c r="C105" s="2"/>
      <c r="D105" s="2"/>
    </row>
    <row r="106" spans="2:4" ht="16.5" customHeight="1">
      <c r="B106" s="157"/>
      <c r="C106" s="2"/>
      <c r="D106" s="2"/>
    </row>
    <row r="107" spans="2:4" ht="16.5" customHeight="1">
      <c r="B107" s="157"/>
      <c r="C107" s="2"/>
      <c r="D107" s="2"/>
    </row>
    <row r="108" spans="2:4" ht="16.5" customHeight="1">
      <c r="B108" s="157"/>
      <c r="C108" s="2"/>
      <c r="D108" s="2"/>
    </row>
    <row r="109" spans="2:4" ht="16.5" customHeight="1">
      <c r="B109" s="157"/>
      <c r="C109" s="2"/>
      <c r="D109" s="2"/>
    </row>
    <row r="110" spans="2:4" ht="16.5" customHeight="1">
      <c r="B110" s="157"/>
      <c r="C110" s="2"/>
      <c r="D110" s="2"/>
    </row>
    <row r="111" spans="2:4" ht="16.5" customHeight="1">
      <c r="B111" s="157"/>
      <c r="C111" s="2"/>
      <c r="D111" s="2"/>
    </row>
    <row r="112" spans="2:4" ht="16.5" customHeight="1">
      <c r="B112" s="157"/>
      <c r="C112" s="2"/>
      <c r="D112" s="2"/>
    </row>
    <row r="113" spans="2:4" ht="16.5" customHeight="1">
      <c r="B113" s="157"/>
      <c r="C113" s="2"/>
      <c r="D113" s="2"/>
    </row>
    <row r="114" spans="2:4" ht="16.5" customHeight="1">
      <c r="B114" s="157"/>
      <c r="C114" s="2"/>
      <c r="D114" s="2"/>
    </row>
    <row r="115" spans="2:4" ht="16.5" customHeight="1">
      <c r="B115" s="157"/>
      <c r="C115" s="2"/>
      <c r="D115" s="2"/>
    </row>
    <row r="116" spans="2:4" ht="16.5" customHeight="1">
      <c r="B116" s="157"/>
      <c r="C116" s="2"/>
      <c r="D116" s="2"/>
    </row>
    <row r="117" spans="2:4" ht="16.5" customHeight="1">
      <c r="B117" s="157"/>
      <c r="C117" s="2"/>
      <c r="D117" s="2"/>
    </row>
    <row r="118" spans="2:4" ht="16.5" customHeight="1">
      <c r="B118" s="157"/>
      <c r="C118" s="2"/>
      <c r="D118" s="2"/>
    </row>
    <row r="119" spans="2:4" ht="16.5" customHeight="1">
      <c r="B119" s="157"/>
      <c r="C119" s="2"/>
      <c r="D119" s="2"/>
    </row>
    <row r="120" spans="2:4" ht="16.5" customHeight="1">
      <c r="B120" s="157"/>
      <c r="C120" s="2"/>
      <c r="D120" s="2"/>
    </row>
    <row r="121" spans="2:4" ht="16.5" customHeight="1">
      <c r="B121" s="157"/>
      <c r="C121" s="2"/>
      <c r="D121" s="2"/>
    </row>
    <row r="122" spans="2:4" ht="16.5" customHeight="1">
      <c r="B122" s="157"/>
      <c r="C122" s="2"/>
      <c r="D122" s="2"/>
    </row>
    <row r="123" spans="2:4" ht="16.5" customHeight="1">
      <c r="B123" s="157"/>
      <c r="C123" s="2"/>
      <c r="D123" s="2"/>
    </row>
    <row r="124" spans="2:4" ht="16.5" customHeight="1">
      <c r="B124" s="157"/>
      <c r="C124" s="2"/>
      <c r="D124" s="2"/>
    </row>
    <row r="125" spans="2:4" ht="16.5" customHeight="1">
      <c r="B125" s="157"/>
      <c r="C125" s="2"/>
      <c r="D125" s="2"/>
    </row>
    <row r="126" spans="2:4" ht="16.5" customHeight="1">
      <c r="B126" s="157"/>
      <c r="C126" s="2"/>
      <c r="D126" s="2"/>
    </row>
    <row r="127" spans="2:4" ht="16.5" customHeight="1">
      <c r="B127" s="157"/>
      <c r="C127" s="2"/>
      <c r="D127" s="2"/>
    </row>
    <row r="128" spans="2:4" ht="16.5" customHeight="1">
      <c r="B128" s="157"/>
      <c r="C128" s="2"/>
      <c r="D128" s="2"/>
    </row>
    <row r="129" spans="2:4" ht="16.5" customHeight="1">
      <c r="B129" s="157"/>
      <c r="C129" s="2"/>
      <c r="D129" s="2"/>
    </row>
    <row r="130" spans="2:4" ht="16.5" customHeight="1">
      <c r="B130" s="157"/>
      <c r="C130" s="2"/>
      <c r="D130" s="2"/>
    </row>
    <row r="131" spans="2:4" ht="16.5" customHeight="1">
      <c r="B131" s="157"/>
      <c r="C131" s="2"/>
      <c r="D131" s="2"/>
    </row>
    <row r="132" spans="2:4" ht="16.5" customHeight="1">
      <c r="B132" s="157"/>
      <c r="C132" s="2"/>
      <c r="D132" s="2"/>
    </row>
    <row r="133" spans="2:4" ht="16.5" customHeight="1">
      <c r="B133" s="157"/>
      <c r="C133" s="2"/>
      <c r="D133" s="2"/>
    </row>
    <row r="134" spans="2:4" ht="16.5" customHeight="1">
      <c r="B134" s="157"/>
      <c r="C134" s="2"/>
      <c r="D134" s="2"/>
    </row>
    <row r="135" spans="2:4" ht="16.5" customHeight="1">
      <c r="B135" s="157"/>
      <c r="C135" s="2"/>
      <c r="D135" s="2"/>
    </row>
    <row r="136" spans="2:4" ht="16.5" customHeight="1">
      <c r="B136" s="157"/>
      <c r="C136" s="2"/>
      <c r="D136" s="2"/>
    </row>
    <row r="137" spans="2:4" ht="16.5" customHeight="1">
      <c r="B137" s="157"/>
      <c r="C137" s="2"/>
      <c r="D137" s="2"/>
    </row>
    <row r="138" spans="2:4" ht="16.5" customHeight="1">
      <c r="B138" s="157"/>
      <c r="C138" s="2"/>
      <c r="D138" s="2"/>
    </row>
    <row r="139" spans="2:4" ht="16.5" customHeight="1">
      <c r="B139" s="157"/>
      <c r="C139" s="2"/>
      <c r="D139" s="2"/>
    </row>
    <row r="140" spans="2:4" ht="16.5" customHeight="1">
      <c r="B140" s="157"/>
      <c r="C140" s="2"/>
      <c r="D140" s="2"/>
    </row>
    <row r="141" spans="2:4" ht="16.5" customHeight="1">
      <c r="B141" s="157"/>
      <c r="C141" s="2"/>
      <c r="D141" s="2"/>
    </row>
    <row r="142" spans="2:4" ht="16.5" customHeight="1">
      <c r="B142" s="157"/>
      <c r="C142" s="2"/>
      <c r="D142" s="2"/>
    </row>
    <row r="143" spans="2:4" ht="16.5" customHeight="1">
      <c r="B143" s="157"/>
      <c r="C143" s="2"/>
      <c r="D143" s="2"/>
    </row>
    <row r="144" spans="2:4" ht="16.5" customHeight="1">
      <c r="B144" s="157"/>
      <c r="C144" s="2"/>
      <c r="D144" s="2"/>
    </row>
    <row r="145" spans="2:4" ht="16.5" customHeight="1">
      <c r="B145" s="157"/>
      <c r="C145" s="2"/>
      <c r="D145" s="2"/>
    </row>
    <row r="146" spans="2:4" ht="16.5" customHeight="1">
      <c r="B146" s="157"/>
      <c r="C146" s="2"/>
      <c r="D146" s="2"/>
    </row>
    <row r="147" spans="2:4" ht="16.5" customHeight="1">
      <c r="B147" s="157"/>
      <c r="C147" s="2"/>
      <c r="D147" s="2"/>
    </row>
    <row r="148" spans="2:4" ht="16.5" customHeight="1">
      <c r="B148" s="157"/>
      <c r="C148" s="2"/>
      <c r="D148" s="2"/>
    </row>
    <row r="149" spans="2:4" ht="16.5" customHeight="1">
      <c r="B149" s="157"/>
      <c r="C149" s="2"/>
      <c r="D149" s="2"/>
    </row>
    <row r="150" spans="2:4" ht="16.5" customHeight="1">
      <c r="B150" s="157"/>
      <c r="C150" s="2"/>
      <c r="D150" s="2"/>
    </row>
    <row r="151" spans="2:4" ht="16.5" customHeight="1">
      <c r="B151" s="157"/>
      <c r="C151" s="2"/>
      <c r="D151" s="2"/>
    </row>
    <row r="152" spans="2:4" ht="16.5" customHeight="1">
      <c r="B152" s="157"/>
      <c r="C152" s="2"/>
      <c r="D152" s="2"/>
    </row>
    <row r="153" spans="2:4" ht="16.5" customHeight="1">
      <c r="B153" s="157"/>
      <c r="C153" s="2"/>
      <c r="D153" s="2"/>
    </row>
    <row r="154" spans="2:4" ht="16.5" customHeight="1">
      <c r="B154" s="157"/>
      <c r="C154" s="2"/>
      <c r="D154" s="2"/>
    </row>
    <row r="155" spans="2:4" ht="16.5" customHeight="1">
      <c r="B155" s="157"/>
      <c r="C155" s="2"/>
      <c r="D155" s="2"/>
    </row>
    <row r="156" spans="2:4" ht="16.5" customHeight="1">
      <c r="B156" s="157"/>
      <c r="C156" s="2"/>
      <c r="D156" s="2"/>
    </row>
    <row r="157" spans="2:4" ht="16.5" customHeight="1">
      <c r="B157" s="157"/>
      <c r="C157" s="2"/>
      <c r="D157" s="2"/>
    </row>
    <row r="158" spans="2:4" ht="16.5" customHeight="1">
      <c r="B158" s="157"/>
      <c r="C158" s="2"/>
      <c r="D158" s="2"/>
    </row>
    <row r="159" spans="2:4" ht="16.5" customHeight="1">
      <c r="B159" s="157"/>
      <c r="C159" s="2"/>
      <c r="D159" s="2"/>
    </row>
    <row r="160" spans="2:4" ht="16.5" customHeight="1">
      <c r="B160" s="157"/>
      <c r="C160" s="2"/>
      <c r="D160" s="2"/>
    </row>
    <row r="161" spans="2:4" ht="16.5" customHeight="1">
      <c r="B161" s="157"/>
      <c r="C161" s="2"/>
      <c r="D161" s="2"/>
    </row>
    <row r="162" spans="2:4" ht="16.5" customHeight="1">
      <c r="B162" s="157"/>
      <c r="C162" s="2"/>
      <c r="D162" s="2"/>
    </row>
    <row r="163" spans="2:4" ht="16.5" customHeight="1">
      <c r="B163" s="157"/>
      <c r="C163" s="2"/>
      <c r="D163" s="2"/>
    </row>
    <row r="164" spans="2:4" ht="16.5" customHeight="1">
      <c r="B164" s="157"/>
      <c r="C164" s="2"/>
      <c r="D164" s="2"/>
    </row>
    <row r="165" spans="2:4" ht="16.5" customHeight="1">
      <c r="B165" s="157"/>
      <c r="C165" s="2"/>
      <c r="D165" s="2"/>
    </row>
    <row r="166" spans="2:4" ht="16.5" customHeight="1">
      <c r="B166" s="157"/>
      <c r="C166" s="2"/>
      <c r="D166" s="2"/>
    </row>
    <row r="167" spans="2:4" ht="16.5" customHeight="1">
      <c r="B167" s="157"/>
      <c r="C167" s="2"/>
      <c r="D167" s="2"/>
    </row>
    <row r="168" spans="2:4" ht="16.5" customHeight="1">
      <c r="B168" s="157"/>
      <c r="C168" s="2"/>
      <c r="D168" s="2"/>
    </row>
    <row r="169" spans="2:4" ht="16.5" customHeight="1">
      <c r="B169" s="157"/>
      <c r="C169" s="2"/>
      <c r="D169" s="2"/>
    </row>
    <row r="170" spans="2:4" ht="16.5" customHeight="1">
      <c r="B170" s="157"/>
      <c r="C170" s="2"/>
      <c r="D170" s="2"/>
    </row>
    <row r="171" spans="2:4" ht="16.5" customHeight="1">
      <c r="B171" s="157"/>
      <c r="C171" s="2"/>
      <c r="D171" s="2"/>
    </row>
    <row r="172" spans="2:4" ht="16.5" customHeight="1">
      <c r="B172" s="157"/>
      <c r="C172" s="2"/>
      <c r="D172" s="2"/>
    </row>
    <row r="173" spans="2:4" ht="16.5" customHeight="1">
      <c r="B173" s="157"/>
      <c r="C173" s="2"/>
      <c r="D173" s="2"/>
    </row>
    <row r="174" spans="2:4" ht="16.5" customHeight="1">
      <c r="B174" s="157"/>
      <c r="C174" s="2"/>
      <c r="D174" s="2"/>
    </row>
    <row r="175" spans="2:4" ht="16.5" customHeight="1">
      <c r="B175" s="157"/>
      <c r="C175" s="2"/>
      <c r="D175" s="2"/>
    </row>
    <row r="176" spans="2:4" ht="16.5" customHeight="1">
      <c r="B176" s="157"/>
      <c r="C176" s="2"/>
      <c r="D176" s="2"/>
    </row>
    <row r="177" spans="2:4" ht="16.5" customHeight="1">
      <c r="B177" s="157"/>
      <c r="C177" s="2"/>
      <c r="D177" s="2"/>
    </row>
    <row r="178" spans="2:4" ht="16.5" customHeight="1">
      <c r="B178" s="157"/>
      <c r="C178" s="2"/>
      <c r="D178" s="2"/>
    </row>
    <row r="179" spans="2:4" ht="16.5" customHeight="1">
      <c r="B179" s="157"/>
      <c r="C179" s="2"/>
      <c r="D179" s="2"/>
    </row>
    <row r="180" spans="2:4" ht="16.5" customHeight="1">
      <c r="B180" s="157"/>
      <c r="C180" s="2"/>
      <c r="D180" s="2"/>
    </row>
    <row r="181" spans="2:4" ht="16.5" customHeight="1">
      <c r="B181" s="157"/>
      <c r="C181" s="2"/>
      <c r="D181" s="2"/>
    </row>
    <row r="182" spans="2:4" ht="16.5" customHeight="1">
      <c r="B182" s="157"/>
      <c r="C182" s="2"/>
      <c r="D182" s="2"/>
    </row>
    <row r="183" spans="2:4" ht="16.5" customHeight="1">
      <c r="B183" s="157"/>
      <c r="C183" s="2"/>
      <c r="D183" s="2"/>
    </row>
    <row r="184" spans="2:4" ht="16.5" customHeight="1">
      <c r="B184" s="157"/>
      <c r="C184" s="2"/>
      <c r="D184" s="2"/>
    </row>
    <row r="185" spans="2:4" ht="16.5" customHeight="1">
      <c r="B185" s="157"/>
      <c r="C185" s="2"/>
      <c r="D185" s="2"/>
    </row>
    <row r="186" spans="2:4" ht="16.5" customHeight="1">
      <c r="B186" s="157"/>
      <c r="C186" s="2"/>
      <c r="D186" s="2"/>
    </row>
    <row r="187" spans="2:4" ht="16.5" customHeight="1">
      <c r="B187" s="157"/>
      <c r="C187" s="2"/>
      <c r="D187" s="2"/>
    </row>
    <row r="188" spans="2:4" ht="16.5" customHeight="1">
      <c r="B188" s="157"/>
      <c r="C188" s="2"/>
      <c r="D188" s="2"/>
    </row>
    <row r="189" spans="2:4" ht="16.5" customHeight="1">
      <c r="B189" s="157"/>
      <c r="C189" s="2"/>
      <c r="D189" s="2"/>
    </row>
    <row r="190" spans="2:4" ht="16.5" customHeight="1">
      <c r="B190" s="157"/>
      <c r="C190" s="2"/>
      <c r="D190" s="2"/>
    </row>
    <row r="191" spans="2:4" ht="16.5" customHeight="1">
      <c r="B191" s="157"/>
      <c r="C191" s="2"/>
      <c r="D191" s="2"/>
    </row>
    <row r="192" spans="2:4" ht="16.5" customHeight="1">
      <c r="B192" s="157"/>
      <c r="C192" s="2"/>
      <c r="D192" s="2"/>
    </row>
    <row r="193" spans="2:4" ht="16.5" customHeight="1">
      <c r="B193" s="157"/>
      <c r="C193" s="2"/>
      <c r="D193" s="2"/>
    </row>
    <row r="194" spans="2:4" ht="16.5" customHeight="1">
      <c r="B194" s="157"/>
      <c r="C194" s="2"/>
      <c r="D194" s="2"/>
    </row>
    <row r="195" spans="2:4" ht="16.5" customHeight="1">
      <c r="B195" s="157"/>
      <c r="C195" s="2"/>
      <c r="D195" s="2"/>
    </row>
    <row r="196" spans="2:4" ht="16.5" customHeight="1">
      <c r="B196" s="157"/>
      <c r="C196" s="2"/>
      <c r="D196" s="2"/>
    </row>
    <row r="197" spans="2:4" ht="16.5" customHeight="1">
      <c r="B197" s="157"/>
      <c r="C197" s="2"/>
      <c r="D197" s="2"/>
    </row>
    <row r="198" spans="2:4" ht="16.5" customHeight="1">
      <c r="B198" s="157"/>
      <c r="C198" s="2"/>
      <c r="D198" s="2"/>
    </row>
    <row r="199" spans="2:4" ht="16.5" customHeight="1">
      <c r="B199" s="157"/>
      <c r="C199" s="2"/>
      <c r="D199" s="2"/>
    </row>
    <row r="200" spans="2:4" ht="16.5" customHeight="1">
      <c r="B200" s="157"/>
      <c r="C200" s="2"/>
      <c r="D200" s="2"/>
    </row>
    <row r="201" spans="2:4" ht="16.5" customHeight="1">
      <c r="B201" s="157"/>
      <c r="C201" s="2"/>
      <c r="D201" s="2"/>
    </row>
    <row r="202" spans="2:4" ht="16.5" customHeight="1">
      <c r="B202" s="157"/>
      <c r="C202" s="2"/>
      <c r="D202" s="2"/>
    </row>
    <row r="203" spans="2:4" ht="16.5" customHeight="1">
      <c r="B203" s="157"/>
      <c r="C203" s="2"/>
      <c r="D203" s="2"/>
    </row>
    <row r="204" spans="2:4" ht="16.5" customHeight="1">
      <c r="B204" s="157"/>
      <c r="C204" s="2"/>
      <c r="D204" s="2"/>
    </row>
    <row r="205" spans="2:4" ht="16.5" customHeight="1">
      <c r="B205" s="157"/>
      <c r="C205" s="2"/>
      <c r="D205" s="2"/>
    </row>
    <row r="206" spans="2:4" ht="16.5" customHeight="1">
      <c r="B206" s="157"/>
      <c r="C206" s="2"/>
      <c r="D206" s="2"/>
    </row>
    <row r="207" spans="2:4" ht="16.5" customHeight="1">
      <c r="B207" s="157"/>
      <c r="C207" s="2"/>
      <c r="D207" s="2"/>
    </row>
    <row r="208" spans="2:4" ht="16.5" customHeight="1">
      <c r="B208" s="157"/>
      <c r="C208" s="2"/>
      <c r="D208" s="2"/>
    </row>
    <row r="209" spans="2:4" ht="16.5" customHeight="1">
      <c r="B209" s="157"/>
      <c r="C209" s="2"/>
      <c r="D209" s="2"/>
    </row>
    <row r="210" spans="2:4" ht="16.5" customHeight="1">
      <c r="B210" s="157"/>
      <c r="C210" s="2"/>
      <c r="D210" s="2"/>
    </row>
    <row r="211" spans="2:4" ht="16.5" customHeight="1">
      <c r="B211" s="157"/>
      <c r="C211" s="2"/>
      <c r="D211" s="2"/>
    </row>
    <row r="212" spans="2:4" ht="16.5" customHeight="1">
      <c r="B212" s="157"/>
      <c r="C212" s="2"/>
      <c r="D212" s="2"/>
    </row>
    <row r="213" spans="2:4" ht="16.5" customHeight="1">
      <c r="B213" s="157"/>
      <c r="C213" s="2"/>
      <c r="D213" s="2"/>
    </row>
    <row r="214" spans="2:4" ht="16.5" customHeight="1">
      <c r="B214" s="157"/>
      <c r="C214" s="2"/>
      <c r="D214" s="2"/>
    </row>
    <row r="215" spans="2:4" ht="16.5" customHeight="1">
      <c r="B215" s="157"/>
      <c r="C215" s="2"/>
      <c r="D215" s="2"/>
    </row>
    <row r="216" spans="2:4" ht="16.5" customHeight="1">
      <c r="B216" s="157"/>
      <c r="C216" s="2"/>
      <c r="D216" s="2"/>
    </row>
    <row r="217" spans="2:4" ht="16.5" customHeight="1">
      <c r="B217" s="157"/>
      <c r="C217" s="2"/>
      <c r="D217" s="2"/>
    </row>
    <row r="218" spans="2:4" ht="16.5" customHeight="1">
      <c r="B218" s="157"/>
      <c r="C218" s="2"/>
      <c r="D218" s="2"/>
    </row>
    <row r="219" spans="2:4" ht="16.5" customHeight="1">
      <c r="B219" s="157"/>
      <c r="C219" s="2"/>
      <c r="D219" s="2"/>
    </row>
    <row r="220" spans="2:4" ht="16.5" customHeight="1">
      <c r="B220" s="157"/>
      <c r="C220" s="2"/>
      <c r="D220" s="2"/>
    </row>
    <row r="221" spans="2:4" ht="16.5" customHeight="1">
      <c r="B221" s="157"/>
      <c r="C221" s="2"/>
      <c r="D221" s="2"/>
    </row>
    <row r="222" spans="2:4" ht="16.5" customHeight="1">
      <c r="B222" s="157"/>
      <c r="C222" s="2"/>
      <c r="D222" s="2"/>
    </row>
    <row r="223" spans="2:4" ht="16.5" customHeight="1">
      <c r="B223" s="157"/>
      <c r="C223" s="2"/>
      <c r="D223" s="2"/>
    </row>
    <row r="224" spans="2:4" ht="16.5" customHeight="1">
      <c r="B224" s="157"/>
      <c r="C224" s="2"/>
      <c r="D224" s="2"/>
    </row>
    <row r="225" spans="2:4" ht="16.5" customHeight="1">
      <c r="B225" s="157"/>
      <c r="C225" s="2"/>
      <c r="D225" s="2"/>
    </row>
    <row r="226" spans="2:4" ht="16.5" customHeight="1">
      <c r="B226" s="157"/>
      <c r="C226" s="2"/>
      <c r="D226" s="2"/>
    </row>
    <row r="227" spans="2:4" ht="16.5" customHeight="1">
      <c r="B227" s="157"/>
      <c r="C227" s="2"/>
      <c r="D227" s="2"/>
    </row>
    <row r="228" spans="2:4" ht="16.5" customHeight="1">
      <c r="B228" s="157"/>
      <c r="C228" s="2"/>
      <c r="D228" s="2"/>
    </row>
    <row r="229" spans="2:4" ht="16.5" customHeight="1">
      <c r="B229" s="157"/>
      <c r="C229" s="2"/>
      <c r="D229" s="2"/>
    </row>
    <row r="230" spans="2:4" ht="16.5" customHeight="1">
      <c r="B230" s="157"/>
      <c r="C230" s="2"/>
      <c r="D230" s="2"/>
    </row>
    <row r="231" spans="2:4" ht="16.5" customHeight="1">
      <c r="B231" s="157"/>
      <c r="C231" s="2"/>
      <c r="D231" s="2"/>
    </row>
    <row r="232" spans="2:4" ht="16.5" customHeight="1">
      <c r="B232" s="157"/>
      <c r="C232" s="2"/>
      <c r="D232" s="2"/>
    </row>
    <row r="233" spans="2:4" ht="16.5" customHeight="1">
      <c r="B233" s="157"/>
      <c r="C233" s="2"/>
      <c r="D233" s="2"/>
    </row>
    <row r="234" spans="2:4" ht="16.5" customHeight="1">
      <c r="B234" s="157"/>
      <c r="C234" s="2"/>
      <c r="D234" s="2"/>
    </row>
    <row r="235" spans="2:4" ht="16.5" customHeight="1">
      <c r="B235" s="157"/>
      <c r="C235" s="2"/>
      <c r="D235" s="2"/>
    </row>
    <row r="236" spans="2:4" ht="16.5" customHeight="1">
      <c r="B236" s="157"/>
      <c r="C236" s="2"/>
      <c r="D236" s="2"/>
    </row>
    <row r="237" spans="2:4" ht="16.5" customHeight="1">
      <c r="B237" s="157"/>
      <c r="C237" s="2"/>
      <c r="D237" s="2"/>
    </row>
    <row r="238" spans="2:4" ht="16.5" customHeight="1">
      <c r="B238" s="157"/>
      <c r="C238" s="2"/>
      <c r="D238" s="2"/>
    </row>
    <row r="239" spans="2:4" ht="16.5" customHeight="1">
      <c r="B239" s="157"/>
      <c r="C239" s="2"/>
      <c r="D239" s="2"/>
    </row>
    <row r="240" spans="2:4" ht="16.5" customHeight="1">
      <c r="B240" s="157"/>
      <c r="C240" s="2"/>
      <c r="D240" s="2"/>
    </row>
    <row r="241" spans="2:4" ht="16.5" customHeight="1">
      <c r="B241" s="157"/>
      <c r="C241" s="2"/>
      <c r="D241" s="2"/>
    </row>
    <row r="242" spans="2:4" ht="16.5" customHeight="1">
      <c r="B242" s="157"/>
      <c r="C242" s="2"/>
      <c r="D242" s="2"/>
    </row>
    <row r="243" spans="2:4" ht="16.5" customHeight="1">
      <c r="B243" s="157"/>
      <c r="C243" s="2"/>
      <c r="D243" s="2"/>
    </row>
    <row r="244" spans="2:4" ht="16.5" customHeight="1">
      <c r="B244" s="157"/>
      <c r="C244" s="2"/>
      <c r="D244" s="2"/>
    </row>
    <row r="245" spans="2:4" ht="16.5" customHeight="1">
      <c r="B245" s="157"/>
      <c r="C245" s="2"/>
      <c r="D245" s="2"/>
    </row>
    <row r="246" spans="2:4" ht="16.5" customHeight="1">
      <c r="B246" s="157"/>
      <c r="C246" s="2"/>
      <c r="D246" s="2"/>
    </row>
    <row r="247" spans="2:4" ht="16.5" customHeight="1">
      <c r="B247" s="157"/>
      <c r="C247" s="2"/>
      <c r="D247" s="2"/>
    </row>
    <row r="248" spans="2:4" ht="16.5" customHeight="1">
      <c r="B248" s="157"/>
      <c r="C248" s="2"/>
      <c r="D248" s="2"/>
    </row>
    <row r="249" spans="2:4" ht="16.5" customHeight="1">
      <c r="B249" s="157"/>
      <c r="C249" s="2"/>
      <c r="D249" s="2"/>
    </row>
    <row r="250" spans="2:4" ht="16.5" customHeight="1">
      <c r="B250" s="157"/>
      <c r="C250" s="2"/>
      <c r="D250" s="2"/>
    </row>
    <row r="251" spans="2:4" ht="16.5" customHeight="1">
      <c r="B251" s="157"/>
      <c r="C251" s="2"/>
      <c r="D251" s="2"/>
    </row>
    <row r="252" spans="2:4" ht="16.5" customHeight="1">
      <c r="B252" s="157"/>
      <c r="C252" s="2"/>
      <c r="D252" s="2"/>
    </row>
    <row r="253" spans="2:4" ht="16.5" customHeight="1">
      <c r="B253" s="157"/>
      <c r="C253" s="2"/>
      <c r="D253" s="2"/>
    </row>
    <row r="254" spans="2:4" ht="16.5" customHeight="1">
      <c r="B254" s="157"/>
      <c r="C254" s="2"/>
      <c r="D254" s="2"/>
    </row>
    <row r="255" spans="2:4" ht="16.5" customHeight="1">
      <c r="B255" s="157"/>
      <c r="C255" s="2"/>
      <c r="D255" s="2"/>
    </row>
    <row r="256" spans="2:4" ht="16.5" customHeight="1">
      <c r="B256" s="157"/>
      <c r="C256" s="2"/>
      <c r="D256" s="2"/>
    </row>
    <row r="257" spans="2:4" ht="16.5" customHeight="1">
      <c r="B257" s="157"/>
      <c r="C257" s="2"/>
      <c r="D257" s="2"/>
    </row>
    <row r="258" spans="2:4" ht="16.5" customHeight="1">
      <c r="B258" s="157"/>
      <c r="C258" s="2"/>
      <c r="D258" s="2"/>
    </row>
    <row r="259" spans="2:4" ht="16.5" customHeight="1">
      <c r="B259" s="157"/>
      <c r="C259" s="2"/>
      <c r="D259" s="2"/>
    </row>
    <row r="260" spans="2:4" ht="16.5" customHeight="1">
      <c r="B260" s="157"/>
      <c r="C260" s="2"/>
      <c r="D260" s="2"/>
    </row>
    <row r="261" spans="2:4" ht="16.5" customHeight="1">
      <c r="B261" s="157"/>
      <c r="C261" s="2"/>
      <c r="D261" s="2"/>
    </row>
    <row r="262" spans="2:4" ht="16.5" customHeight="1">
      <c r="B262" s="157"/>
      <c r="C262" s="2"/>
      <c r="D262" s="2"/>
    </row>
    <row r="263" spans="2:4" ht="16.5" customHeight="1">
      <c r="B263" s="157"/>
      <c r="C263" s="2"/>
      <c r="D263" s="2"/>
    </row>
    <row r="264" spans="2:4" ht="16.5" customHeight="1">
      <c r="B264" s="157"/>
      <c r="C264" s="2"/>
      <c r="D264" s="2"/>
    </row>
    <row r="265" spans="2:4" ht="16.5" customHeight="1">
      <c r="B265" s="157"/>
      <c r="C265" s="2"/>
      <c r="D265" s="2"/>
    </row>
    <row r="266" spans="2:4" ht="16.5" customHeight="1">
      <c r="B266" s="157"/>
      <c r="C266" s="2"/>
      <c r="D266" s="2"/>
    </row>
    <row r="267" spans="2:4" ht="16.5" customHeight="1">
      <c r="B267" s="157"/>
      <c r="C267" s="2"/>
      <c r="D267" s="2"/>
    </row>
    <row r="268" spans="2:4" ht="16.5" customHeight="1">
      <c r="B268" s="157"/>
      <c r="C268" s="2"/>
      <c r="D268" s="2"/>
    </row>
    <row r="269" spans="2:4" ht="16.5" customHeight="1">
      <c r="B269" s="157"/>
      <c r="C269" s="2"/>
      <c r="D269" s="2"/>
    </row>
    <row r="270" spans="2:4" ht="16.5" customHeight="1">
      <c r="B270" s="157"/>
      <c r="C270" s="2"/>
      <c r="D270" s="2"/>
    </row>
    <row r="271" spans="2:4" ht="16.5" customHeight="1">
      <c r="B271" s="157"/>
      <c r="C271" s="2"/>
      <c r="D271" s="2"/>
    </row>
    <row r="272" spans="2:4" ht="16.5" customHeight="1">
      <c r="B272" s="157"/>
      <c r="C272" s="2"/>
      <c r="D272" s="2"/>
    </row>
    <row r="273" spans="2:4" ht="16.5" customHeight="1">
      <c r="B273" s="157"/>
      <c r="C273" s="2"/>
      <c r="D273" s="2"/>
    </row>
    <row r="274" spans="2:4" ht="16.5" customHeight="1">
      <c r="B274" s="157"/>
      <c r="C274" s="2"/>
      <c r="D274" s="2"/>
    </row>
    <row r="275" spans="2:4" ht="16.5" customHeight="1">
      <c r="B275" s="157"/>
      <c r="C275" s="2"/>
      <c r="D275" s="2"/>
    </row>
    <row r="276" spans="2:4" ht="16.5" customHeight="1">
      <c r="B276" s="157"/>
      <c r="C276" s="2"/>
      <c r="D276" s="2"/>
    </row>
    <row r="277" spans="2:4" ht="16.5" customHeight="1">
      <c r="B277" s="157"/>
      <c r="C277" s="2"/>
      <c r="D277" s="2"/>
    </row>
    <row r="278" spans="2:4" ht="16.5" customHeight="1">
      <c r="B278" s="157"/>
      <c r="C278" s="2"/>
      <c r="D278" s="2"/>
    </row>
    <row r="279" spans="2:4" ht="16.5" customHeight="1">
      <c r="B279" s="157"/>
      <c r="C279" s="2"/>
      <c r="D279" s="2"/>
    </row>
    <row r="280" spans="2:4" ht="16.5" customHeight="1">
      <c r="B280" s="157"/>
      <c r="C280" s="2"/>
      <c r="D280" s="2"/>
    </row>
    <row r="281" spans="2:4" ht="16.5" customHeight="1">
      <c r="B281" s="157"/>
      <c r="C281" s="2"/>
      <c r="D281" s="2"/>
    </row>
    <row r="282" spans="2:4" ht="16.5" customHeight="1">
      <c r="B282" s="157"/>
      <c r="C282" s="2"/>
      <c r="D282" s="2"/>
    </row>
    <row r="283" spans="2:4" ht="16.5" customHeight="1">
      <c r="B283" s="157"/>
      <c r="C283" s="2"/>
      <c r="D283" s="2"/>
    </row>
    <row r="284" spans="2:4" ht="16.5" customHeight="1">
      <c r="B284" s="157"/>
      <c r="C284" s="2"/>
      <c r="D284" s="2"/>
    </row>
    <row r="285" spans="2:4" ht="16.5" customHeight="1">
      <c r="B285" s="157"/>
      <c r="C285" s="2"/>
      <c r="D285" s="2"/>
    </row>
    <row r="286" spans="2:4" ht="16.5" customHeight="1">
      <c r="B286" s="157"/>
      <c r="C286" s="2"/>
      <c r="D286" s="2"/>
    </row>
    <row r="287" spans="2:4" ht="16.5" customHeight="1">
      <c r="B287" s="157"/>
      <c r="C287" s="2"/>
      <c r="D287" s="2"/>
    </row>
    <row r="288" spans="2:4" ht="16.5" customHeight="1">
      <c r="B288" s="157"/>
      <c r="C288" s="2"/>
      <c r="D288" s="2"/>
    </row>
    <row r="289" spans="2:4" ht="16.5" customHeight="1">
      <c r="B289" s="157"/>
      <c r="C289" s="2"/>
      <c r="D289" s="2"/>
    </row>
    <row r="290" spans="2:4" ht="16.5" customHeight="1">
      <c r="B290" s="157"/>
      <c r="C290" s="2"/>
      <c r="D290" s="2"/>
    </row>
    <row r="291" spans="2:4" ht="16.5" customHeight="1">
      <c r="B291" s="157"/>
      <c r="C291" s="2"/>
      <c r="D291" s="2"/>
    </row>
    <row r="292" spans="2:4" ht="16.5" customHeight="1">
      <c r="B292" s="157"/>
      <c r="C292" s="2"/>
      <c r="D292" s="2"/>
    </row>
    <row r="293" spans="2:4" ht="16.5" customHeight="1">
      <c r="B293" s="157"/>
      <c r="C293" s="2"/>
      <c r="D293" s="2"/>
    </row>
    <row r="294" spans="2:4" ht="16.5" customHeight="1">
      <c r="B294" s="157"/>
      <c r="C294" s="2"/>
      <c r="D294" s="2"/>
    </row>
    <row r="295" spans="2:4" ht="16.5" customHeight="1">
      <c r="B295" s="157"/>
      <c r="C295" s="2"/>
      <c r="D295" s="2"/>
    </row>
    <row r="296" spans="2:4" ht="16.5" customHeight="1">
      <c r="B296" s="157"/>
      <c r="C296" s="2"/>
      <c r="D296" s="2"/>
    </row>
    <row r="297" spans="2:4" ht="16.5" customHeight="1">
      <c r="B297" s="157"/>
      <c r="C297" s="2"/>
      <c r="D297" s="2"/>
    </row>
    <row r="298" spans="2:4" ht="16.5" customHeight="1">
      <c r="B298" s="157"/>
      <c r="C298" s="2"/>
      <c r="D298" s="2"/>
    </row>
    <row r="299" spans="2:4" ht="16.5" customHeight="1">
      <c r="B299" s="157"/>
      <c r="C299" s="2"/>
      <c r="D299" s="2"/>
    </row>
    <row r="300" spans="2:4" ht="16.5" customHeight="1">
      <c r="B300" s="157"/>
      <c r="C300" s="2"/>
      <c r="D300" s="2"/>
    </row>
    <row r="301" spans="2:4" ht="16.5" customHeight="1">
      <c r="B301" s="157"/>
      <c r="C301" s="2"/>
      <c r="D301" s="2"/>
    </row>
    <row r="302" spans="2:4" ht="16.5" customHeight="1">
      <c r="B302" s="157"/>
      <c r="C302" s="2"/>
      <c r="D302" s="2"/>
    </row>
    <row r="303" spans="2:4" ht="16.5" customHeight="1">
      <c r="B303" s="157"/>
      <c r="C303" s="2"/>
      <c r="D303" s="2"/>
    </row>
    <row r="304" spans="2:4" ht="16.5" customHeight="1">
      <c r="B304" s="157"/>
      <c r="C304" s="2"/>
      <c r="D304" s="2"/>
    </row>
    <row r="305" spans="2:4" ht="16.5" customHeight="1">
      <c r="B305" s="157"/>
      <c r="C305" s="2"/>
      <c r="D305" s="2"/>
    </row>
    <row r="306" spans="2:4" ht="16.5" customHeight="1">
      <c r="B306" s="157"/>
      <c r="C306" s="2"/>
      <c r="D306" s="2"/>
    </row>
    <row r="307" spans="2:4" ht="16.5" customHeight="1">
      <c r="B307" s="157"/>
      <c r="C307" s="2"/>
      <c r="D307" s="2"/>
    </row>
    <row r="308" spans="2:4" ht="16.5" customHeight="1">
      <c r="B308" s="157"/>
      <c r="C308" s="2"/>
      <c r="D308" s="2"/>
    </row>
    <row r="309" spans="2:4" ht="16.5" customHeight="1">
      <c r="B309" s="157"/>
      <c r="C309" s="2"/>
      <c r="D309" s="2"/>
    </row>
    <row r="310" spans="2:4" ht="16.5" customHeight="1">
      <c r="B310" s="157"/>
      <c r="C310" s="2"/>
      <c r="D310" s="2"/>
    </row>
    <row r="311" spans="2:4" ht="16.5" customHeight="1">
      <c r="B311" s="157"/>
      <c r="C311" s="2"/>
      <c r="D311" s="2"/>
    </row>
    <row r="312" spans="2:4" ht="16.5" customHeight="1">
      <c r="B312" s="157"/>
      <c r="C312" s="2"/>
      <c r="D312" s="2"/>
    </row>
    <row r="313" spans="2:4" ht="16.5" customHeight="1">
      <c r="B313" s="157"/>
      <c r="C313" s="2"/>
      <c r="D313" s="2"/>
    </row>
    <row r="314" spans="2:4" ht="16.5" customHeight="1">
      <c r="B314" s="157"/>
      <c r="C314" s="2"/>
      <c r="D314" s="2"/>
    </row>
    <row r="315" spans="2:4" ht="16.5" customHeight="1">
      <c r="B315" s="157"/>
      <c r="C315" s="2"/>
      <c r="D315" s="2"/>
    </row>
    <row r="316" spans="2:4" ht="16.5" customHeight="1">
      <c r="B316" s="157"/>
      <c r="C316" s="2"/>
      <c r="D316" s="2"/>
    </row>
    <row r="317" spans="2:4" ht="16.5" customHeight="1">
      <c r="B317" s="157"/>
      <c r="C317" s="2"/>
      <c r="D317" s="2"/>
    </row>
    <row r="318" spans="2:4" ht="16.5" customHeight="1">
      <c r="B318" s="157"/>
      <c r="C318" s="2"/>
      <c r="D318" s="2"/>
    </row>
    <row r="319" spans="2:4" ht="16.5" customHeight="1">
      <c r="B319" s="157"/>
      <c r="C319" s="2"/>
      <c r="D319" s="2"/>
    </row>
    <row r="320" spans="2:4" ht="16.5" customHeight="1">
      <c r="B320" s="157"/>
      <c r="C320" s="2"/>
      <c r="D320" s="2"/>
    </row>
    <row r="321" spans="2:4" ht="16.5" customHeight="1">
      <c r="B321" s="157"/>
      <c r="C321" s="2"/>
      <c r="D321" s="2"/>
    </row>
    <row r="322" spans="2:4" ht="16.5" customHeight="1">
      <c r="B322" s="157"/>
      <c r="C322" s="2"/>
      <c r="D322" s="2"/>
    </row>
    <row r="323" spans="2:4" ht="16.5" customHeight="1">
      <c r="B323" s="157"/>
      <c r="C323" s="2"/>
      <c r="D323" s="2"/>
    </row>
    <row r="324" spans="2:4" ht="16.5" customHeight="1">
      <c r="B324" s="157"/>
      <c r="C324" s="2"/>
      <c r="D324" s="2"/>
    </row>
    <row r="325" spans="2:4" ht="16.5" customHeight="1">
      <c r="B325" s="157"/>
      <c r="C325" s="2"/>
      <c r="D325" s="2"/>
    </row>
    <row r="326" spans="2:4" ht="16.5" customHeight="1">
      <c r="B326" s="157"/>
      <c r="C326" s="2"/>
      <c r="D326" s="2"/>
    </row>
    <row r="327" spans="2:4" ht="16.5" customHeight="1">
      <c r="B327" s="157"/>
      <c r="C327" s="2"/>
      <c r="D327" s="2"/>
    </row>
    <row r="328" spans="2:4" ht="16.5" customHeight="1">
      <c r="B328" s="157"/>
      <c r="C328" s="2"/>
      <c r="D328" s="2"/>
    </row>
    <row r="329" spans="2:4" ht="16.5" customHeight="1">
      <c r="B329" s="157"/>
      <c r="C329" s="2"/>
      <c r="D329" s="2"/>
    </row>
    <row r="330" spans="2:4" ht="16.5" customHeight="1">
      <c r="B330" s="157"/>
      <c r="C330" s="2"/>
      <c r="D330" s="2"/>
    </row>
    <row r="331" spans="2:4" ht="16.5" customHeight="1">
      <c r="B331" s="157"/>
      <c r="C331" s="2"/>
      <c r="D331" s="2"/>
    </row>
    <row r="332" spans="2:4" ht="16.5" customHeight="1">
      <c r="B332" s="157"/>
      <c r="C332" s="2"/>
      <c r="D332" s="2"/>
    </row>
    <row r="333" spans="2:4" ht="16.5" customHeight="1">
      <c r="B333" s="157"/>
      <c r="C333" s="2"/>
      <c r="D333" s="2"/>
    </row>
    <row r="334" spans="2:4" ht="16.5" customHeight="1">
      <c r="B334" s="157"/>
      <c r="C334" s="2"/>
      <c r="D334" s="2"/>
    </row>
    <row r="335" spans="2:4" ht="16.5" customHeight="1">
      <c r="B335" s="157"/>
      <c r="C335" s="2"/>
      <c r="D335" s="2"/>
    </row>
    <row r="336" spans="2:4" ht="16.5" customHeight="1">
      <c r="B336" s="157"/>
      <c r="C336" s="2"/>
      <c r="D336" s="2"/>
    </row>
    <row r="337" spans="2:4" ht="16.5" customHeight="1">
      <c r="B337" s="157"/>
      <c r="C337" s="2"/>
      <c r="D337" s="2"/>
    </row>
    <row r="338" spans="2:4" ht="16.5" customHeight="1">
      <c r="B338" s="157"/>
      <c r="C338" s="2"/>
      <c r="D338" s="2"/>
    </row>
    <row r="339" spans="2:4" ht="16.5" customHeight="1">
      <c r="B339" s="157"/>
      <c r="C339" s="2"/>
      <c r="D339" s="2"/>
    </row>
    <row r="340" spans="2:4" ht="16.5" customHeight="1">
      <c r="B340" s="157"/>
      <c r="C340" s="2"/>
      <c r="D340" s="2"/>
    </row>
    <row r="341" spans="2:4" ht="16.5" customHeight="1">
      <c r="B341" s="157"/>
      <c r="C341" s="2"/>
      <c r="D341" s="2"/>
    </row>
    <row r="342" spans="2:4" ht="16.5" customHeight="1">
      <c r="B342" s="157"/>
      <c r="C342" s="2"/>
      <c r="D342" s="2"/>
    </row>
    <row r="343" spans="2:4" ht="16.5" customHeight="1">
      <c r="B343" s="157"/>
      <c r="C343" s="2"/>
      <c r="D343" s="2"/>
    </row>
    <row r="344" spans="2:4" ht="16.5" customHeight="1">
      <c r="B344" s="157"/>
      <c r="C344" s="2"/>
      <c r="D344" s="2"/>
    </row>
    <row r="345" spans="2:4" ht="16.5" customHeight="1">
      <c r="B345" s="157"/>
      <c r="C345" s="2"/>
      <c r="D345" s="2"/>
    </row>
    <row r="346" spans="2:4" ht="16.5" customHeight="1">
      <c r="B346" s="157"/>
      <c r="C346" s="2"/>
      <c r="D346" s="2"/>
    </row>
    <row r="347" spans="2:4" ht="16.5" customHeight="1">
      <c r="B347" s="157"/>
      <c r="C347" s="2"/>
      <c r="D347" s="2"/>
    </row>
    <row r="348" spans="2:4" ht="16.5" customHeight="1">
      <c r="B348" s="157"/>
      <c r="C348" s="2"/>
      <c r="D348" s="2"/>
    </row>
    <row r="349" spans="2:4" ht="16.5" customHeight="1">
      <c r="B349" s="157"/>
      <c r="C349" s="2"/>
      <c r="D349" s="2"/>
    </row>
    <row r="350" spans="2:4" ht="16.5" customHeight="1">
      <c r="B350" s="157"/>
      <c r="C350" s="2"/>
      <c r="D350" s="2"/>
    </row>
    <row r="351" spans="2:4" ht="16.5" customHeight="1">
      <c r="B351" s="157"/>
      <c r="C351" s="2"/>
      <c r="D351" s="2"/>
    </row>
    <row r="352" spans="2:4" ht="16.5" customHeight="1">
      <c r="B352" s="157"/>
      <c r="C352" s="2"/>
      <c r="D352" s="2"/>
    </row>
    <row r="353" spans="2:4" ht="16.5" customHeight="1">
      <c r="B353" s="157"/>
      <c r="C353" s="2"/>
      <c r="D353" s="2"/>
    </row>
    <row r="354" spans="2:4" ht="16.5" customHeight="1">
      <c r="B354" s="157"/>
      <c r="C354" s="2"/>
      <c r="D354" s="2"/>
    </row>
    <row r="355" spans="2:4" ht="16.5" customHeight="1">
      <c r="B355" s="157"/>
      <c r="C355" s="2"/>
      <c r="D355" s="2"/>
    </row>
    <row r="356" spans="2:4" ht="16.5" customHeight="1">
      <c r="B356" s="157"/>
      <c r="C356" s="2"/>
      <c r="D356" s="2"/>
    </row>
    <row r="357" spans="2:4" ht="16.5" customHeight="1">
      <c r="B357" s="157"/>
      <c r="C357" s="2"/>
      <c r="D357" s="2"/>
    </row>
    <row r="358" spans="2:4" ht="16.5" customHeight="1">
      <c r="B358" s="157"/>
      <c r="C358" s="2"/>
      <c r="D358" s="2"/>
    </row>
    <row r="359" spans="2:4" ht="16.5" customHeight="1">
      <c r="B359" s="157"/>
      <c r="C359" s="2"/>
      <c r="D359" s="2"/>
    </row>
    <row r="360" spans="2:4" ht="16.5" customHeight="1">
      <c r="B360" s="157"/>
      <c r="C360" s="2"/>
      <c r="D360" s="2"/>
    </row>
    <row r="361" spans="2:4" ht="16.5" customHeight="1">
      <c r="B361" s="157"/>
      <c r="C361" s="2"/>
      <c r="D361" s="2"/>
    </row>
    <row r="362" spans="2:4" ht="16.5" customHeight="1">
      <c r="B362" s="157"/>
      <c r="C362" s="2"/>
      <c r="D362" s="2"/>
    </row>
    <row r="363" spans="2:4" ht="16.5" customHeight="1">
      <c r="B363" s="157"/>
      <c r="C363" s="2"/>
      <c r="D363" s="2"/>
    </row>
    <row r="364" spans="2:4" ht="16.5" customHeight="1">
      <c r="B364" s="157"/>
      <c r="C364" s="2"/>
      <c r="D364" s="2"/>
    </row>
    <row r="365" spans="2:4" ht="16.5" customHeight="1">
      <c r="B365" s="157"/>
      <c r="C365" s="2"/>
      <c r="D365" s="2"/>
    </row>
    <row r="366" spans="2:4" ht="16.5" customHeight="1">
      <c r="B366" s="157"/>
      <c r="C366" s="2"/>
      <c r="D366" s="2"/>
    </row>
    <row r="367" spans="2:4" ht="16.5" customHeight="1">
      <c r="B367" s="157"/>
      <c r="C367" s="2"/>
      <c r="D367" s="2"/>
    </row>
    <row r="368" spans="2:4" ht="16.5" customHeight="1">
      <c r="B368" s="157"/>
      <c r="C368" s="2"/>
      <c r="D368" s="2"/>
    </row>
    <row r="369" spans="2:4" ht="16.5" customHeight="1">
      <c r="B369" s="157"/>
      <c r="C369" s="2"/>
      <c r="D369" s="2"/>
    </row>
    <row r="370" spans="2:4" ht="16.5" customHeight="1">
      <c r="B370" s="157"/>
      <c r="C370" s="2"/>
      <c r="D370" s="2"/>
    </row>
    <row r="371" spans="2:4" ht="16.5" customHeight="1">
      <c r="B371" s="157"/>
      <c r="C371" s="2"/>
      <c r="D371" s="2"/>
    </row>
    <row r="372" spans="2:4" ht="16.5" customHeight="1">
      <c r="B372" s="157"/>
      <c r="C372" s="2"/>
      <c r="D372" s="2"/>
    </row>
    <row r="373" spans="2:4" ht="16.5" customHeight="1">
      <c r="B373" s="157"/>
      <c r="C373" s="2"/>
      <c r="D373" s="2"/>
    </row>
    <row r="374" spans="2:4" ht="16.5" customHeight="1">
      <c r="B374" s="157"/>
      <c r="C374" s="2"/>
      <c r="D374" s="2"/>
    </row>
    <row r="375" spans="2:4" ht="16.5" customHeight="1">
      <c r="B375" s="157"/>
      <c r="C375" s="2"/>
      <c r="D375" s="2"/>
    </row>
    <row r="376" spans="2:4" ht="16.5" customHeight="1">
      <c r="B376" s="157"/>
      <c r="C376" s="2"/>
      <c r="D376" s="2"/>
    </row>
    <row r="377" spans="2:4" ht="16.5" customHeight="1">
      <c r="B377" s="157"/>
      <c r="C377" s="2"/>
      <c r="D377" s="2"/>
    </row>
    <row r="378" spans="2:4" ht="16.5" customHeight="1">
      <c r="B378" s="157"/>
      <c r="C378" s="2"/>
      <c r="D378" s="2"/>
    </row>
    <row r="379" spans="2:4" ht="16.5" customHeight="1">
      <c r="B379" s="157"/>
      <c r="C379" s="2"/>
      <c r="D379" s="2"/>
    </row>
    <row r="380" spans="2:4" ht="16.5" customHeight="1">
      <c r="B380" s="157"/>
      <c r="C380" s="2"/>
      <c r="D380" s="2"/>
    </row>
    <row r="381" spans="2:4" ht="16.5" customHeight="1">
      <c r="B381" s="157"/>
      <c r="C381" s="2"/>
      <c r="D381" s="2"/>
    </row>
    <row r="382" spans="2:4" ht="16.5" customHeight="1">
      <c r="B382" s="157"/>
      <c r="C382" s="2"/>
      <c r="D382" s="2"/>
    </row>
    <row r="383" spans="2:4" ht="16.5" customHeight="1">
      <c r="B383" s="157"/>
      <c r="C383" s="2"/>
      <c r="D383" s="2"/>
    </row>
    <row r="384" spans="2:4" ht="16.5" customHeight="1">
      <c r="B384" s="157"/>
      <c r="C384" s="2"/>
      <c r="D384" s="2"/>
    </row>
    <row r="385" spans="2:4" ht="16.5" customHeight="1">
      <c r="B385" s="157"/>
      <c r="C385" s="2"/>
      <c r="D385" s="2"/>
    </row>
    <row r="386" spans="2:4" ht="16.5" customHeight="1">
      <c r="B386" s="157"/>
      <c r="C386" s="2"/>
      <c r="D386" s="2"/>
    </row>
    <row r="387" spans="2:4" ht="16.5" customHeight="1">
      <c r="B387" s="157"/>
      <c r="C387" s="2"/>
      <c r="D387" s="2"/>
    </row>
    <row r="388" spans="2:4" ht="16.5" customHeight="1">
      <c r="B388" s="157"/>
      <c r="C388" s="2"/>
      <c r="D388" s="2"/>
    </row>
    <row r="389" spans="2:4" ht="16.5" customHeight="1">
      <c r="B389" s="157"/>
      <c r="C389" s="2"/>
      <c r="D389" s="2"/>
    </row>
    <row r="390" spans="2:4" ht="16.5" customHeight="1">
      <c r="B390" s="157"/>
      <c r="C390" s="2"/>
      <c r="D390" s="2"/>
    </row>
    <row r="391" spans="2:4" ht="16.5" customHeight="1">
      <c r="B391" s="157"/>
      <c r="C391" s="2"/>
      <c r="D391" s="2"/>
    </row>
    <row r="392" spans="2:4" ht="16.5" customHeight="1">
      <c r="B392" s="157"/>
      <c r="C392" s="2"/>
      <c r="D392" s="2"/>
    </row>
    <row r="393" spans="2:4" ht="16.5" customHeight="1">
      <c r="B393" s="157"/>
      <c r="C393" s="2"/>
      <c r="D393" s="2"/>
    </row>
    <row r="394" spans="2:4" ht="16.5" customHeight="1">
      <c r="B394" s="157"/>
      <c r="C394" s="2"/>
      <c r="D394" s="2"/>
    </row>
    <row r="395" spans="2:4" ht="16.5" customHeight="1">
      <c r="B395" s="157"/>
      <c r="C395" s="2"/>
      <c r="D395" s="2"/>
    </row>
    <row r="396" spans="2:4" ht="16.5" customHeight="1">
      <c r="B396" s="157"/>
      <c r="C396" s="2"/>
      <c r="D396" s="2"/>
    </row>
    <row r="397" spans="2:4" ht="16.5" customHeight="1">
      <c r="B397" s="157"/>
      <c r="C397" s="2"/>
      <c r="D397" s="2"/>
    </row>
    <row r="398" spans="2:4" ht="16.5" customHeight="1">
      <c r="B398" s="157"/>
      <c r="C398" s="2"/>
      <c r="D398" s="2"/>
    </row>
    <row r="399" spans="2:4" ht="16.5" customHeight="1">
      <c r="B399" s="157"/>
      <c r="C399" s="2"/>
      <c r="D399" s="2"/>
    </row>
    <row r="400" spans="2:4" ht="16.5" customHeight="1">
      <c r="B400" s="157"/>
      <c r="C400" s="2"/>
      <c r="D400" s="2"/>
    </row>
    <row r="401" spans="2:4" ht="16.5" customHeight="1">
      <c r="B401" s="157"/>
      <c r="C401" s="2"/>
      <c r="D401" s="2"/>
    </row>
    <row r="402" spans="2:4" ht="16.5" customHeight="1">
      <c r="B402" s="157"/>
      <c r="C402" s="2"/>
      <c r="D402" s="2"/>
    </row>
    <row r="403" spans="2:4" ht="16.5" customHeight="1">
      <c r="B403" s="157"/>
      <c r="C403" s="2"/>
      <c r="D403" s="2"/>
    </row>
    <row r="404" spans="2:4" ht="16.5" customHeight="1">
      <c r="B404" s="157"/>
      <c r="C404" s="2"/>
      <c r="D404" s="2"/>
    </row>
    <row r="405" spans="2:4" ht="16.5" customHeight="1">
      <c r="B405" s="157"/>
      <c r="C405" s="2"/>
      <c r="D405" s="2"/>
    </row>
    <row r="406" spans="2:4" ht="16.5" customHeight="1">
      <c r="B406" s="157"/>
      <c r="C406" s="2"/>
      <c r="D406" s="2"/>
    </row>
    <row r="407" spans="2:4" ht="16.5" customHeight="1">
      <c r="B407" s="157"/>
      <c r="C407" s="2"/>
      <c r="D407" s="2"/>
    </row>
    <row r="408" spans="2:4" ht="16.5" customHeight="1">
      <c r="B408" s="157"/>
      <c r="C408" s="2"/>
      <c r="D408" s="2"/>
    </row>
    <row r="409" spans="2:4" ht="16.5" customHeight="1">
      <c r="B409" s="157"/>
      <c r="C409" s="2"/>
      <c r="D409" s="2"/>
    </row>
    <row r="410" spans="2:4" ht="16.5" customHeight="1">
      <c r="B410" s="157"/>
      <c r="C410" s="2"/>
      <c r="D410" s="2"/>
    </row>
    <row r="411" spans="2:4" ht="16.5" customHeight="1">
      <c r="B411" s="157"/>
      <c r="C411" s="2"/>
      <c r="D411" s="2"/>
    </row>
    <row r="412" spans="2:4" ht="16.5" customHeight="1">
      <c r="B412" s="157"/>
      <c r="C412" s="2"/>
      <c r="D412" s="2"/>
    </row>
    <row r="413" spans="2:4" ht="16.5" customHeight="1">
      <c r="B413" s="157"/>
      <c r="C413" s="2"/>
      <c r="D413" s="2"/>
    </row>
    <row r="414" spans="2:4" ht="16.5" customHeight="1">
      <c r="B414" s="157"/>
      <c r="C414" s="2"/>
      <c r="D414" s="2"/>
    </row>
    <row r="415" spans="2:4" ht="16.5" customHeight="1">
      <c r="B415" s="157"/>
      <c r="C415" s="2"/>
      <c r="D415" s="2"/>
    </row>
    <row r="416" spans="2:4" ht="16.5" customHeight="1">
      <c r="B416" s="157"/>
      <c r="C416" s="2"/>
      <c r="D416" s="2"/>
    </row>
    <row r="417" spans="2:4" ht="16.5" customHeight="1">
      <c r="B417" s="157"/>
      <c r="C417" s="2"/>
      <c r="D417" s="2"/>
    </row>
    <row r="418" spans="2:4" ht="16.5" customHeight="1">
      <c r="B418" s="157"/>
      <c r="C418" s="2"/>
      <c r="D418" s="2"/>
    </row>
    <row r="419" spans="2:4" ht="16.5" customHeight="1">
      <c r="B419" s="157"/>
      <c r="C419" s="2"/>
      <c r="D419" s="2"/>
    </row>
    <row r="420" spans="2:4" ht="16.5" customHeight="1">
      <c r="B420" s="157"/>
      <c r="C420" s="2"/>
      <c r="D420" s="2"/>
    </row>
    <row r="421" spans="2:4" ht="16.5" customHeight="1">
      <c r="B421" s="157"/>
      <c r="C421" s="2"/>
      <c r="D421" s="2"/>
    </row>
    <row r="422" spans="2:4" ht="16.5" customHeight="1">
      <c r="B422" s="157"/>
      <c r="C422" s="2"/>
      <c r="D422" s="2"/>
    </row>
    <row r="423" spans="2:4" ht="16.5" customHeight="1">
      <c r="B423" s="157"/>
      <c r="C423" s="2"/>
      <c r="D423" s="2"/>
    </row>
    <row r="424" spans="2:4" ht="16.5" customHeight="1">
      <c r="B424" s="157"/>
      <c r="C424" s="2"/>
      <c r="D424" s="2"/>
    </row>
    <row r="425" spans="2:4" ht="16.5" customHeight="1">
      <c r="B425" s="157"/>
      <c r="C425" s="2"/>
      <c r="D425" s="2"/>
    </row>
    <row r="426" spans="2:4" ht="16.5" customHeight="1">
      <c r="B426" s="157"/>
      <c r="C426" s="2"/>
      <c r="D426" s="2"/>
    </row>
    <row r="427" spans="2:4" ht="16.5" customHeight="1">
      <c r="B427" s="157"/>
      <c r="C427" s="2"/>
      <c r="D427" s="2"/>
    </row>
    <row r="428" spans="2:4" ht="16.5" customHeight="1">
      <c r="B428" s="157"/>
      <c r="C428" s="2"/>
      <c r="D428" s="2"/>
    </row>
    <row r="429" spans="2:4" ht="16.5" customHeight="1">
      <c r="B429" s="157"/>
      <c r="C429" s="2"/>
      <c r="D429" s="2"/>
    </row>
    <row r="430" spans="2:4" ht="16.5" customHeight="1">
      <c r="B430" s="157"/>
      <c r="C430" s="2"/>
      <c r="D430" s="2"/>
    </row>
    <row r="431" spans="2:4" ht="16.5" customHeight="1">
      <c r="B431" s="157"/>
      <c r="C431" s="2"/>
      <c r="D431" s="2"/>
    </row>
    <row r="432" spans="2:4" ht="16.5" customHeight="1">
      <c r="B432" s="157"/>
      <c r="C432" s="2"/>
      <c r="D432" s="2"/>
    </row>
    <row r="433" spans="2:4" ht="16.5" customHeight="1">
      <c r="B433" s="157"/>
      <c r="C433" s="2"/>
      <c r="D433" s="2"/>
    </row>
    <row r="434" spans="2:4" ht="16.5" customHeight="1">
      <c r="B434" s="157"/>
      <c r="C434" s="2"/>
      <c r="D434" s="2"/>
    </row>
    <row r="435" spans="2:4" ht="16.5" customHeight="1">
      <c r="B435" s="157"/>
      <c r="C435" s="2"/>
      <c r="D435" s="2"/>
    </row>
    <row r="436" spans="2:4" ht="16.5" customHeight="1">
      <c r="B436" s="157"/>
      <c r="C436" s="2"/>
      <c r="D436" s="2"/>
    </row>
    <row r="437" spans="2:4" ht="16.5" customHeight="1">
      <c r="B437" s="157"/>
      <c r="C437" s="2"/>
      <c r="D437" s="2"/>
    </row>
    <row r="438" spans="2:4" ht="16.5" customHeight="1">
      <c r="B438" s="157"/>
      <c r="C438" s="2"/>
      <c r="D438" s="2"/>
    </row>
    <row r="439" spans="2:4" ht="16.5" customHeight="1">
      <c r="B439" s="157"/>
      <c r="C439" s="2"/>
      <c r="D439" s="2"/>
    </row>
    <row r="440" spans="2:4" ht="16.5" customHeight="1">
      <c r="B440" s="157"/>
      <c r="C440" s="2"/>
      <c r="D440" s="2"/>
    </row>
    <row r="441" spans="2:4" ht="16.5" customHeight="1">
      <c r="B441" s="157"/>
      <c r="C441" s="2"/>
      <c r="D441" s="2"/>
    </row>
    <row r="442" spans="2:4" ht="16.5" customHeight="1">
      <c r="B442" s="157"/>
      <c r="C442" s="2"/>
      <c r="D442" s="2"/>
    </row>
    <row r="443" spans="2:4" ht="16.5" customHeight="1">
      <c r="B443" s="157"/>
      <c r="C443" s="2"/>
      <c r="D443" s="2"/>
    </row>
    <row r="444" spans="2:4" ht="16.5" customHeight="1">
      <c r="B444" s="157"/>
      <c r="C444" s="2"/>
      <c r="D444" s="2"/>
    </row>
    <row r="445" spans="2:4" ht="16.5" customHeight="1">
      <c r="B445" s="157"/>
      <c r="C445" s="2"/>
      <c r="D445" s="2"/>
    </row>
    <row r="446" spans="2:4" ht="16.5" customHeight="1">
      <c r="B446" s="157"/>
      <c r="C446" s="2"/>
      <c r="D446" s="2"/>
    </row>
    <row r="447" spans="2:4" ht="16.5" customHeight="1">
      <c r="B447" s="157"/>
      <c r="C447" s="2"/>
      <c r="D447" s="2"/>
    </row>
    <row r="448" spans="2:4" ht="16.5" customHeight="1">
      <c r="B448" s="157"/>
      <c r="C448" s="2"/>
      <c r="D448" s="2"/>
    </row>
    <row r="449" spans="2:4" ht="16.5" customHeight="1">
      <c r="B449" s="157"/>
      <c r="C449" s="2"/>
      <c r="D449" s="2"/>
    </row>
    <row r="450" spans="2:4" ht="16.5" customHeight="1">
      <c r="B450" s="157"/>
      <c r="C450" s="2"/>
      <c r="D450" s="2"/>
    </row>
    <row r="451" spans="2:4" ht="16.5" customHeight="1">
      <c r="B451" s="157"/>
      <c r="C451" s="2"/>
      <c r="D451" s="2"/>
    </row>
    <row r="452" spans="2:4" ht="16.5" customHeight="1">
      <c r="B452" s="157"/>
      <c r="C452" s="2"/>
      <c r="D452" s="2"/>
    </row>
    <row r="453" spans="2:4" ht="16.5" customHeight="1">
      <c r="B453" s="157"/>
      <c r="C453" s="2"/>
      <c r="D453" s="2"/>
    </row>
    <row r="454" spans="2:4" ht="16.5" customHeight="1">
      <c r="B454" s="157"/>
      <c r="C454" s="2"/>
      <c r="D454" s="2"/>
    </row>
    <row r="455" spans="2:4" ht="16.5" customHeight="1">
      <c r="B455" s="157"/>
      <c r="C455" s="2"/>
      <c r="D455" s="2"/>
    </row>
    <row r="456" spans="2:4" ht="16.5" customHeight="1">
      <c r="B456" s="157"/>
      <c r="C456" s="2"/>
      <c r="D456" s="2"/>
    </row>
    <row r="457" spans="2:4" ht="16.5" customHeight="1">
      <c r="B457" s="157"/>
      <c r="C457" s="2"/>
      <c r="D457" s="2"/>
    </row>
    <row r="458" spans="2:4" ht="16.5" customHeight="1">
      <c r="B458" s="157"/>
      <c r="C458" s="2"/>
      <c r="D458" s="2"/>
    </row>
    <row r="459" spans="2:4" ht="16.5" customHeight="1">
      <c r="B459" s="157"/>
      <c r="C459" s="2"/>
      <c r="D459" s="2"/>
    </row>
    <row r="460" spans="2:4" ht="16.5" customHeight="1">
      <c r="B460" s="157"/>
      <c r="C460" s="2"/>
      <c r="D460" s="2"/>
    </row>
    <row r="461" spans="2:4" ht="16.5" customHeight="1">
      <c r="B461" s="157"/>
      <c r="C461" s="2"/>
      <c r="D461" s="2"/>
    </row>
    <row r="462" spans="2:4" ht="16.5" customHeight="1">
      <c r="B462" s="157"/>
      <c r="C462" s="2"/>
      <c r="D462" s="2"/>
    </row>
    <row r="463" spans="2:4" ht="16.5" customHeight="1">
      <c r="B463" s="157"/>
      <c r="C463" s="2"/>
      <c r="D463" s="2"/>
    </row>
    <row r="464" spans="2:4" ht="16.5" customHeight="1">
      <c r="B464" s="157"/>
      <c r="C464" s="2"/>
      <c r="D464" s="2"/>
    </row>
    <row r="465" spans="2:4" ht="16.5" customHeight="1">
      <c r="B465" s="157"/>
      <c r="C465" s="2"/>
      <c r="D465" s="2"/>
    </row>
    <row r="466" spans="2:4" ht="16.5" customHeight="1">
      <c r="B466" s="157"/>
      <c r="C466" s="2"/>
      <c r="D466" s="2"/>
    </row>
    <row r="467" spans="2:4" ht="16.5" customHeight="1">
      <c r="B467" s="157"/>
      <c r="C467" s="2"/>
      <c r="D467" s="2"/>
    </row>
    <row r="468" spans="2:4" ht="16.5" customHeight="1">
      <c r="B468" s="157"/>
      <c r="C468" s="2"/>
      <c r="D468" s="2"/>
    </row>
    <row r="469" spans="2:4" ht="16.5" customHeight="1">
      <c r="B469" s="157"/>
      <c r="C469" s="2"/>
      <c r="D469" s="2"/>
    </row>
    <row r="470" spans="2:4" ht="16.5" customHeight="1">
      <c r="B470" s="157"/>
      <c r="C470" s="2"/>
      <c r="D470" s="2"/>
    </row>
    <row r="471" spans="2:4" ht="16.5" customHeight="1">
      <c r="B471" s="157"/>
      <c r="C471" s="2"/>
      <c r="D471" s="2"/>
    </row>
    <row r="472" spans="2:4" ht="16.5" customHeight="1">
      <c r="B472" s="157"/>
      <c r="C472" s="2"/>
      <c r="D472" s="2"/>
    </row>
    <row r="473" spans="2:4" ht="16.5" customHeight="1">
      <c r="B473" s="157"/>
      <c r="C473" s="2"/>
      <c r="D473" s="2"/>
    </row>
    <row r="474" spans="2:4" ht="16.5" customHeight="1">
      <c r="B474" s="157"/>
      <c r="C474" s="2"/>
      <c r="D474" s="2"/>
    </row>
    <row r="475" spans="2:4" ht="16.5" customHeight="1">
      <c r="B475" s="157"/>
      <c r="C475" s="2"/>
      <c r="D475" s="2"/>
    </row>
    <row r="476" spans="2:4" ht="16.5" customHeight="1">
      <c r="B476" s="157"/>
      <c r="C476" s="2"/>
      <c r="D476" s="2"/>
    </row>
    <row r="477" spans="2:4" ht="16.5" customHeight="1">
      <c r="B477" s="157"/>
      <c r="C477" s="2"/>
      <c r="D477" s="2"/>
    </row>
    <row r="478" spans="2:4" ht="16.5" customHeight="1">
      <c r="B478" s="157"/>
      <c r="C478" s="2"/>
      <c r="D478" s="2"/>
    </row>
    <row r="479" spans="2:4" ht="16.5" customHeight="1">
      <c r="B479" s="157"/>
      <c r="C479" s="2"/>
      <c r="D479" s="2"/>
    </row>
    <row r="480" spans="2:4" ht="16.5" customHeight="1">
      <c r="B480" s="157"/>
      <c r="C480" s="2"/>
      <c r="D480" s="2"/>
    </row>
    <row r="481" spans="2:4" ht="16.5" customHeight="1">
      <c r="B481" s="157"/>
      <c r="C481" s="2"/>
      <c r="D481" s="2"/>
    </row>
    <row r="482" spans="2:4" ht="16.5" customHeight="1">
      <c r="B482" s="157"/>
      <c r="C482" s="2"/>
      <c r="D482" s="2"/>
    </row>
    <row r="483" spans="2:4" ht="16.5" customHeight="1">
      <c r="B483" s="157"/>
      <c r="C483" s="2"/>
      <c r="D483" s="2"/>
    </row>
    <row r="484" spans="2:4" ht="16.5" customHeight="1">
      <c r="B484" s="157"/>
      <c r="C484" s="2"/>
      <c r="D484" s="2"/>
    </row>
    <row r="485" spans="2:4" ht="16.5" customHeight="1">
      <c r="B485" s="157"/>
      <c r="C485" s="2"/>
      <c r="D485" s="2"/>
    </row>
    <row r="486" spans="2:4" ht="16.5" customHeight="1">
      <c r="B486" s="157"/>
      <c r="C486" s="2"/>
      <c r="D486" s="2"/>
    </row>
    <row r="487" spans="2:4" ht="16.5" customHeight="1">
      <c r="B487" s="157"/>
      <c r="C487" s="2"/>
      <c r="D487" s="2"/>
    </row>
    <row r="488" spans="2:4" ht="16.5" customHeight="1">
      <c r="B488" s="157"/>
      <c r="C488" s="2"/>
      <c r="D488" s="2"/>
    </row>
    <row r="489" spans="2:4" ht="16.5" customHeight="1">
      <c r="B489" s="157"/>
      <c r="C489" s="2"/>
      <c r="D489" s="2"/>
    </row>
    <row r="490" spans="2:4" ht="16.5" customHeight="1">
      <c r="B490" s="157"/>
      <c r="C490" s="2"/>
      <c r="D490" s="2"/>
    </row>
    <row r="491" spans="2:4" ht="16.5" customHeight="1">
      <c r="B491" s="157"/>
      <c r="C491" s="2"/>
      <c r="D491" s="2"/>
    </row>
    <row r="492" spans="2:4" ht="16.5" customHeight="1">
      <c r="B492" s="157"/>
      <c r="C492" s="2"/>
      <c r="D492" s="2"/>
    </row>
    <row r="493" spans="2:4" ht="16.5" customHeight="1">
      <c r="B493" s="157"/>
      <c r="C493" s="2"/>
      <c r="D493" s="2"/>
    </row>
    <row r="494" spans="2:4" ht="16.5" customHeight="1">
      <c r="B494" s="157"/>
      <c r="C494" s="2"/>
      <c r="D494" s="2"/>
    </row>
    <row r="495" spans="2:4" ht="16.5" customHeight="1">
      <c r="B495" s="157"/>
      <c r="C495" s="2"/>
      <c r="D495" s="2"/>
    </row>
    <row r="496" spans="2:4" ht="16.5" customHeight="1">
      <c r="B496" s="157"/>
      <c r="C496" s="2"/>
      <c r="D496" s="2"/>
    </row>
    <row r="497" spans="2:4" ht="16.5" customHeight="1">
      <c r="B497" s="157"/>
      <c r="C497" s="2"/>
      <c r="D497" s="2"/>
    </row>
    <row r="498" spans="2:4" ht="16.5" customHeight="1">
      <c r="B498" s="157"/>
      <c r="C498" s="2"/>
      <c r="D498" s="2"/>
    </row>
    <row r="499" spans="2:4" ht="16.5" customHeight="1">
      <c r="B499" s="157"/>
      <c r="C499" s="2"/>
      <c r="D499" s="2"/>
    </row>
    <row r="500" spans="2:4" ht="16.5" customHeight="1">
      <c r="B500" s="157"/>
      <c r="C500" s="2"/>
      <c r="D500" s="2"/>
    </row>
    <row r="501" spans="2:4" ht="16.5" customHeight="1">
      <c r="B501" s="157"/>
      <c r="C501" s="2"/>
      <c r="D501" s="2"/>
    </row>
    <row r="502" spans="2:4" ht="16.5" customHeight="1">
      <c r="B502" s="157"/>
      <c r="C502" s="2"/>
      <c r="D502" s="2"/>
    </row>
    <row r="503" spans="2:4" ht="16.5" customHeight="1">
      <c r="B503" s="157"/>
      <c r="C503" s="2"/>
      <c r="D503" s="2"/>
    </row>
    <row r="504" spans="2:4" ht="16.5" customHeight="1">
      <c r="B504" s="157"/>
      <c r="C504" s="2"/>
      <c r="D504" s="2"/>
    </row>
    <row r="505" spans="2:4" ht="16.5" customHeight="1">
      <c r="B505" s="157"/>
      <c r="C505" s="2"/>
      <c r="D505" s="2"/>
    </row>
    <row r="506" spans="2:4" ht="16.5" customHeight="1">
      <c r="B506" s="157"/>
      <c r="C506" s="2"/>
      <c r="D506" s="2"/>
    </row>
    <row r="507" spans="2:4" ht="16.5" customHeight="1">
      <c r="B507" s="157"/>
      <c r="C507" s="2"/>
      <c r="D507" s="2"/>
    </row>
    <row r="508" spans="2:4" ht="16.5" customHeight="1">
      <c r="B508" s="157"/>
      <c r="C508" s="2"/>
      <c r="D508" s="2"/>
    </row>
    <row r="509" spans="2:4" ht="16.5" customHeight="1">
      <c r="B509" s="157"/>
      <c r="C509" s="2"/>
      <c r="D509" s="2"/>
    </row>
    <row r="510" spans="2:4" ht="16.5" customHeight="1">
      <c r="B510" s="157"/>
      <c r="C510" s="2"/>
      <c r="D510" s="2"/>
    </row>
    <row r="511" spans="2:4" ht="16.5" customHeight="1">
      <c r="B511" s="157"/>
      <c r="C511" s="2"/>
      <c r="D511" s="2"/>
    </row>
    <row r="512" spans="2:4" ht="16.5" customHeight="1">
      <c r="B512" s="157"/>
      <c r="C512" s="11"/>
      <c r="D512" s="2"/>
    </row>
    <row r="513" spans="2:4" ht="16.5" customHeight="1">
      <c r="B513" s="157"/>
      <c r="C513" s="11"/>
      <c r="D513" s="2"/>
    </row>
    <row r="514" spans="2:4" ht="16.5" customHeight="1">
      <c r="B514" s="157"/>
      <c r="C514" s="11"/>
      <c r="D514" s="2"/>
    </row>
    <row r="515" spans="2:4" ht="16.5" customHeight="1">
      <c r="B515" s="157"/>
      <c r="C515" s="11"/>
      <c r="D515" s="2"/>
    </row>
    <row r="516" spans="2:4" ht="16.5" customHeight="1">
      <c r="B516" s="157"/>
      <c r="C516" s="11"/>
      <c r="D516" s="2"/>
    </row>
    <row r="517" spans="2:4" ht="16.5" customHeight="1">
      <c r="B517" s="157"/>
      <c r="C517" s="11"/>
      <c r="D517" s="2"/>
    </row>
    <row r="518" spans="2:4" ht="16.5" customHeight="1">
      <c r="B518" s="157"/>
      <c r="C518" s="11"/>
      <c r="D518" s="2"/>
    </row>
    <row r="519" spans="2:4" ht="16.5" customHeight="1">
      <c r="B519" s="157"/>
      <c r="C519" s="11"/>
      <c r="D519" s="2"/>
    </row>
    <row r="520" spans="2:4" ht="16.5" customHeight="1">
      <c r="B520" s="157"/>
      <c r="C520" s="11"/>
      <c r="D520" s="2"/>
    </row>
    <row r="521" spans="2:4" ht="16.5" customHeight="1">
      <c r="B521" s="157"/>
      <c r="C521" s="11"/>
      <c r="D521" s="2"/>
    </row>
    <row r="522" spans="2:4" ht="16.5" customHeight="1">
      <c r="B522" s="157"/>
      <c r="C522" s="11"/>
      <c r="D522" s="2"/>
    </row>
    <row r="523" spans="2:4" ht="16.5" customHeight="1">
      <c r="B523" s="157"/>
      <c r="C523" s="11"/>
      <c r="D523" s="2"/>
    </row>
    <row r="524" spans="2:4" ht="16.5" customHeight="1">
      <c r="B524" s="157"/>
      <c r="C524" s="11"/>
      <c r="D524" s="2"/>
    </row>
    <row r="525" spans="2:4" ht="16.5" customHeight="1">
      <c r="B525" s="157"/>
      <c r="C525" s="11"/>
      <c r="D525" s="2"/>
    </row>
    <row r="526" spans="2:4" ht="16.5" customHeight="1">
      <c r="B526" s="157"/>
      <c r="C526" s="11"/>
      <c r="D526" s="2"/>
    </row>
    <row r="527" spans="2:4" ht="16.5" customHeight="1">
      <c r="B527" s="157"/>
      <c r="C527" s="11"/>
      <c r="D527" s="2"/>
    </row>
    <row r="528" spans="2:4" ht="16.5" customHeight="1">
      <c r="B528" s="157"/>
      <c r="C528" s="11"/>
      <c r="D528" s="2"/>
    </row>
    <row r="529" spans="2:4" ht="16.5" customHeight="1">
      <c r="B529" s="157"/>
      <c r="C529" s="11"/>
      <c r="D529" s="2"/>
    </row>
    <row r="530" spans="2:4" ht="16.5" customHeight="1">
      <c r="B530" s="157"/>
      <c r="C530" s="11"/>
      <c r="D530" s="2"/>
    </row>
    <row r="531" spans="2:4" ht="16.5" customHeight="1">
      <c r="B531" s="157"/>
      <c r="C531" s="11"/>
      <c r="D531" s="2"/>
    </row>
    <row r="532" spans="2:4" ht="16.5" customHeight="1">
      <c r="B532" s="157"/>
      <c r="C532" s="11"/>
      <c r="D532" s="2"/>
    </row>
    <row r="533" spans="2:4" ht="16.5" customHeight="1">
      <c r="B533" s="157"/>
      <c r="C533" s="11"/>
      <c r="D533" s="2"/>
    </row>
    <row r="534" spans="2:4" ht="16.5" customHeight="1">
      <c r="B534" s="157"/>
      <c r="C534" s="11"/>
      <c r="D534" s="2"/>
    </row>
    <row r="535" spans="2:4" ht="16.5" customHeight="1">
      <c r="B535" s="157"/>
      <c r="C535" s="11"/>
      <c r="D535" s="2"/>
    </row>
    <row r="536" spans="2:4" ht="16.5" customHeight="1">
      <c r="B536" s="157"/>
      <c r="C536" s="11"/>
      <c r="D536" s="2"/>
    </row>
    <row r="537" spans="2:4" ht="16.5" customHeight="1">
      <c r="B537" s="157"/>
      <c r="C537" s="11"/>
      <c r="D537" s="2"/>
    </row>
    <row r="538" spans="2:4" ht="16.5" customHeight="1">
      <c r="B538" s="157"/>
      <c r="C538" s="11"/>
      <c r="D538" s="2"/>
    </row>
    <row r="539" spans="2:4" ht="16.5" customHeight="1">
      <c r="B539" s="157"/>
      <c r="C539" s="11"/>
      <c r="D539" s="2"/>
    </row>
    <row r="540" spans="2:4" ht="16.5" customHeight="1">
      <c r="B540" s="157"/>
      <c r="C540" s="11"/>
      <c r="D540" s="2"/>
    </row>
    <row r="541" spans="2:4" ht="16.5" customHeight="1">
      <c r="B541" s="157"/>
      <c r="C541" s="11"/>
      <c r="D541" s="2"/>
    </row>
    <row r="542" spans="2:4" ht="16.5" customHeight="1">
      <c r="B542" s="157"/>
      <c r="C542" s="11"/>
      <c r="D542" s="2"/>
    </row>
    <row r="543" spans="2:4" ht="16.5" customHeight="1">
      <c r="B543" s="157"/>
      <c r="C543" s="11"/>
      <c r="D543" s="2"/>
    </row>
    <row r="544" spans="2:4" ht="16.5" customHeight="1">
      <c r="B544" s="157"/>
      <c r="C544" s="11"/>
      <c r="D544" s="2"/>
    </row>
    <row r="545" spans="2:4" ht="16.5" customHeight="1">
      <c r="B545" s="157"/>
      <c r="C545" s="11"/>
      <c r="D545" s="2"/>
    </row>
    <row r="546" spans="2:4" ht="16.5" customHeight="1">
      <c r="B546" s="157"/>
      <c r="C546" s="11"/>
      <c r="D546" s="2"/>
    </row>
    <row r="547" spans="2:4" ht="16.5" customHeight="1">
      <c r="B547" s="157"/>
      <c r="C547" s="11"/>
      <c r="D547" s="2"/>
    </row>
    <row r="548" spans="2:4" ht="16.5" customHeight="1">
      <c r="B548" s="157"/>
      <c r="C548" s="11"/>
      <c r="D548" s="2"/>
    </row>
    <row r="549" spans="2:4" ht="16.5" customHeight="1">
      <c r="B549" s="157"/>
      <c r="C549" s="11"/>
      <c r="D549" s="2"/>
    </row>
    <row r="550" spans="2:4" ht="16.5" customHeight="1">
      <c r="B550" s="157"/>
      <c r="C550" s="11"/>
      <c r="D550" s="2"/>
    </row>
    <row r="551" spans="2:4" ht="16.5" customHeight="1">
      <c r="B551" s="157"/>
      <c r="C551" s="11"/>
      <c r="D551" s="2"/>
    </row>
    <row r="552" spans="2:4" ht="16.5" customHeight="1">
      <c r="B552" s="157"/>
      <c r="C552" s="11"/>
      <c r="D552" s="2"/>
    </row>
    <row r="553" spans="2:4" ht="16.5" customHeight="1">
      <c r="B553" s="157"/>
      <c r="C553" s="11"/>
      <c r="D553" s="2"/>
    </row>
    <row r="554" spans="2:4" ht="16.5" customHeight="1">
      <c r="B554" s="157"/>
      <c r="C554" s="11"/>
      <c r="D554" s="2"/>
    </row>
    <row r="555" spans="2:4" ht="16.5" customHeight="1">
      <c r="B555" s="157"/>
      <c r="C555" s="11"/>
      <c r="D555" s="2"/>
    </row>
    <row r="556" spans="2:4" ht="16.5" customHeight="1">
      <c r="B556" s="157"/>
      <c r="C556" s="11"/>
      <c r="D556" s="2"/>
    </row>
    <row r="557" spans="2:4" ht="16.5" customHeight="1">
      <c r="B557" s="157"/>
      <c r="C557" s="11"/>
      <c r="D557" s="2"/>
    </row>
    <row r="558" spans="2:4" ht="16.5" customHeight="1">
      <c r="B558" s="157"/>
      <c r="C558" s="11"/>
      <c r="D558" s="2"/>
    </row>
    <row r="559" spans="2:4" ht="16.5" customHeight="1">
      <c r="B559" s="157"/>
      <c r="C559" s="11"/>
      <c r="D559" s="2"/>
    </row>
    <row r="560" spans="2:4" ht="16.5" customHeight="1">
      <c r="B560" s="157"/>
      <c r="C560" s="11"/>
      <c r="D560" s="2"/>
    </row>
    <row r="561" spans="2:4" ht="16.5" customHeight="1">
      <c r="B561" s="157"/>
      <c r="C561" s="11"/>
      <c r="D561" s="2"/>
    </row>
    <row r="562" spans="2:4" ht="16.5" customHeight="1">
      <c r="B562" s="157"/>
      <c r="C562" s="11"/>
      <c r="D562" s="2"/>
    </row>
    <row r="563" spans="2:4" ht="16.5" customHeight="1">
      <c r="B563" s="157"/>
      <c r="C563" s="11"/>
      <c r="D563" s="2"/>
    </row>
    <row r="564" spans="2:4" ht="16.5" customHeight="1">
      <c r="B564" s="157"/>
      <c r="C564" s="11"/>
      <c r="D564" s="2"/>
    </row>
    <row r="565" spans="2:4" ht="16.5" customHeight="1">
      <c r="B565" s="157"/>
      <c r="C565" s="11"/>
      <c r="D565" s="2"/>
    </row>
    <row r="566" spans="2:4" ht="16.5" customHeight="1">
      <c r="B566" s="157"/>
      <c r="C566" s="11"/>
      <c r="D566" s="2"/>
    </row>
    <row r="567" spans="2:4" ht="16.5" customHeight="1">
      <c r="B567" s="157"/>
      <c r="C567" s="11"/>
      <c r="D567" s="2"/>
    </row>
    <row r="568" spans="2:4" ht="16.5" customHeight="1">
      <c r="B568" s="157"/>
      <c r="C568" s="11"/>
      <c r="D568" s="2"/>
    </row>
    <row r="569" spans="2:4" ht="16.5" customHeight="1">
      <c r="B569" s="157"/>
      <c r="C569" s="11"/>
      <c r="D569" s="2"/>
    </row>
    <row r="570" spans="2:4" ht="16.5" customHeight="1">
      <c r="B570" s="157"/>
      <c r="C570" s="11"/>
      <c r="D570" s="2"/>
    </row>
    <row r="571" spans="2:4" ht="16.5" customHeight="1">
      <c r="B571" s="157"/>
      <c r="C571" s="11"/>
      <c r="D571" s="2"/>
    </row>
    <row r="572" spans="2:4" ht="16.5" customHeight="1">
      <c r="B572" s="157"/>
      <c r="C572" s="11"/>
      <c r="D572" s="2"/>
    </row>
    <row r="573" spans="2:4" ht="16.5" customHeight="1">
      <c r="B573" s="157"/>
      <c r="C573" s="11"/>
      <c r="D573" s="2"/>
    </row>
    <row r="574" spans="2:4" ht="16.5" customHeight="1">
      <c r="B574" s="157"/>
      <c r="C574" s="11"/>
      <c r="D574" s="2"/>
    </row>
    <row r="575" spans="2:4" ht="16.5" customHeight="1">
      <c r="B575" s="157"/>
      <c r="C575" s="11"/>
      <c r="D575" s="2"/>
    </row>
    <row r="576" spans="2:4" ht="16.5" customHeight="1">
      <c r="B576" s="157"/>
      <c r="C576" s="11"/>
      <c r="D576" s="2"/>
    </row>
    <row r="577" spans="2:4" ht="16.5" customHeight="1">
      <c r="B577" s="157"/>
      <c r="C577" s="11"/>
      <c r="D577" s="2"/>
    </row>
    <row r="578" spans="2:4" ht="16.5" customHeight="1">
      <c r="B578" s="157"/>
      <c r="C578" s="11"/>
      <c r="D578" s="2"/>
    </row>
    <row r="579" spans="2:4" ht="16.5" customHeight="1">
      <c r="B579" s="157"/>
      <c r="C579" s="11"/>
      <c r="D579" s="2"/>
    </row>
    <row r="580" spans="2:4" ht="16.5" customHeight="1">
      <c r="B580" s="157"/>
      <c r="C580" s="11"/>
      <c r="D580" s="2"/>
    </row>
    <row r="581" spans="2:4" ht="16.5" customHeight="1">
      <c r="B581" s="157"/>
      <c r="C581" s="11"/>
      <c r="D581" s="2"/>
    </row>
    <row r="582" spans="2:4" ht="16.5" customHeight="1">
      <c r="B582" s="157"/>
      <c r="C582" s="11"/>
      <c r="D582" s="2"/>
    </row>
    <row r="583" spans="2:4" ht="16.5" customHeight="1">
      <c r="B583" s="157"/>
      <c r="C583" s="11"/>
      <c r="D583" s="2"/>
    </row>
    <row r="584" spans="2:4" ht="16.5" customHeight="1">
      <c r="B584" s="157"/>
      <c r="C584" s="11"/>
      <c r="D584" s="2"/>
    </row>
    <row r="585" spans="2:4" ht="16.5" customHeight="1">
      <c r="B585" s="157"/>
      <c r="C585" s="11"/>
      <c r="D585" s="2"/>
    </row>
    <row r="586" spans="2:4" ht="16.5" customHeight="1">
      <c r="B586" s="157"/>
      <c r="C586" s="11"/>
      <c r="D586" s="2"/>
    </row>
    <row r="587" spans="2:4" ht="16.5" customHeight="1">
      <c r="B587" s="157"/>
      <c r="C587" s="11"/>
      <c r="D587" s="2"/>
    </row>
    <row r="588" spans="2:4" ht="16.5" customHeight="1">
      <c r="B588" s="157"/>
      <c r="C588" s="11"/>
      <c r="D588" s="2"/>
    </row>
    <row r="589" spans="2:4" ht="16.5" customHeight="1">
      <c r="B589" s="157"/>
      <c r="C589" s="11"/>
      <c r="D589" s="2"/>
    </row>
    <row r="590" spans="2:4" ht="16.5" customHeight="1">
      <c r="B590" s="157"/>
      <c r="C590" s="11"/>
      <c r="D590" s="2"/>
    </row>
    <row r="591" spans="2:4" ht="16.5" customHeight="1">
      <c r="B591" s="157"/>
      <c r="C591" s="11"/>
      <c r="D591" s="2"/>
    </row>
    <row r="592" spans="2:4" ht="16.5" customHeight="1">
      <c r="B592" s="157"/>
      <c r="C592" s="11"/>
      <c r="D592" s="2"/>
    </row>
    <row r="593" spans="2:4" ht="16.5" customHeight="1">
      <c r="B593" s="157"/>
      <c r="C593" s="11"/>
      <c r="D593" s="2"/>
    </row>
    <row r="594" spans="2:4" ht="16.5" customHeight="1">
      <c r="B594" s="157"/>
      <c r="C594" s="11"/>
      <c r="D594" s="2"/>
    </row>
    <row r="595" spans="2:4" ht="16.5" customHeight="1">
      <c r="B595" s="157"/>
      <c r="C595" s="11"/>
      <c r="D595" s="2"/>
    </row>
    <row r="596" spans="2:4" ht="16.5" customHeight="1">
      <c r="B596" s="157"/>
      <c r="C596" s="11"/>
      <c r="D596" s="2"/>
    </row>
    <row r="597" spans="2:4" ht="16.5" customHeight="1">
      <c r="B597" s="157"/>
      <c r="C597" s="11"/>
      <c r="D597" s="2"/>
    </row>
    <row r="598" spans="2:4" ht="16.5" customHeight="1">
      <c r="B598" s="157"/>
      <c r="C598" s="11"/>
      <c r="D598" s="2"/>
    </row>
    <row r="599" spans="2:4" ht="16.5" customHeight="1">
      <c r="B599" s="157"/>
      <c r="C599" s="11"/>
      <c r="D599" s="2"/>
    </row>
    <row r="600" spans="2:4" ht="16.5" customHeight="1">
      <c r="B600" s="157"/>
      <c r="C600" s="11"/>
      <c r="D600" s="2"/>
    </row>
    <row r="601" spans="2:4" ht="16.5" customHeight="1">
      <c r="B601" s="157"/>
      <c r="C601" s="11"/>
      <c r="D601" s="2"/>
    </row>
    <row r="602" spans="2:4" ht="16.5" customHeight="1">
      <c r="B602" s="157"/>
      <c r="C602" s="11"/>
      <c r="D602" s="2"/>
    </row>
    <row r="603" spans="2:4" ht="16.5" customHeight="1">
      <c r="B603" s="157"/>
      <c r="C603" s="11"/>
      <c r="D603" s="2"/>
    </row>
    <row r="604" spans="2:4" ht="16.5" customHeight="1">
      <c r="B604" s="157"/>
      <c r="C604" s="11"/>
      <c r="D604" s="2"/>
    </row>
    <row r="605" spans="2:4" ht="16.5" customHeight="1">
      <c r="B605" s="157"/>
      <c r="C605" s="11"/>
      <c r="D605" s="2"/>
    </row>
    <row r="606" spans="1:4" ht="16.5" customHeight="1">
      <c r="A606" s="163"/>
      <c r="B606" s="163"/>
      <c r="C606" s="11"/>
      <c r="D606" s="2"/>
    </row>
    <row r="607" spans="1:4" ht="16.5" customHeight="1">
      <c r="A607" s="163"/>
      <c r="B607" s="163"/>
      <c r="C607" s="11"/>
      <c r="D607" s="2"/>
    </row>
    <row r="608" spans="1:4" ht="16.5" customHeight="1">
      <c r="A608" s="163"/>
      <c r="B608" s="163"/>
      <c r="C608" s="11"/>
      <c r="D608" s="2"/>
    </row>
    <row r="609" spans="1:4" ht="16.5" customHeight="1">
      <c r="A609" s="163"/>
      <c r="B609" s="163"/>
      <c r="C609" s="11"/>
      <c r="D609" s="2"/>
    </row>
    <row r="610" spans="1:4" ht="16.5" customHeight="1">
      <c r="A610" s="171"/>
      <c r="B610" s="171"/>
      <c r="C610" s="11"/>
      <c r="D610" s="2"/>
    </row>
    <row r="611" spans="1:4" ht="16.5" customHeight="1">
      <c r="A611" s="171"/>
      <c r="B611" s="171"/>
      <c r="C611" s="11"/>
      <c r="D611" s="2"/>
    </row>
    <row r="612" spans="1:4" ht="16.5" customHeight="1">
      <c r="A612" s="171"/>
      <c r="B612" s="171"/>
      <c r="C612" s="11"/>
      <c r="D612" s="2"/>
    </row>
    <row r="613" spans="1:4" ht="16.5" customHeight="1">
      <c r="A613" s="171"/>
      <c r="B613" s="171"/>
      <c r="C613" s="11"/>
      <c r="D613" s="2"/>
    </row>
    <row r="614" spans="1:4" ht="16.5" customHeight="1">
      <c r="A614" s="171"/>
      <c r="B614" s="171"/>
      <c r="C614" s="11"/>
      <c r="D614" s="2"/>
    </row>
    <row r="615" spans="1:4" ht="16.5" customHeight="1">
      <c r="A615" s="171"/>
      <c r="B615" s="171"/>
      <c r="C615" s="11"/>
      <c r="D615" s="2"/>
    </row>
    <row r="616" spans="1:4" ht="16.5" customHeight="1">
      <c r="A616" s="171"/>
      <c r="B616" s="171"/>
      <c r="C616" s="11"/>
      <c r="D616" s="2"/>
    </row>
    <row r="617" spans="1:4" ht="16.5" customHeight="1">
      <c r="A617" s="171"/>
      <c r="B617" s="171"/>
      <c r="C617" s="11"/>
      <c r="D617" s="2"/>
    </row>
    <row r="618" spans="1:4" ht="16.5" customHeight="1">
      <c r="A618" s="171"/>
      <c r="B618" s="171"/>
      <c r="C618" s="11"/>
      <c r="D618" s="2"/>
    </row>
    <row r="619" spans="1:4" ht="16.5" customHeight="1">
      <c r="A619" s="171"/>
      <c r="B619" s="171"/>
      <c r="C619" s="11"/>
      <c r="D619" s="2"/>
    </row>
    <row r="620" spans="1:4" ht="16.5" customHeight="1">
      <c r="A620" s="171"/>
      <c r="B620" s="171"/>
      <c r="C620" s="11"/>
      <c r="D620" s="2"/>
    </row>
    <row r="621" spans="1:4" ht="16.5" customHeight="1">
      <c r="A621" s="171"/>
      <c r="B621" s="171"/>
      <c r="C621" s="11"/>
      <c r="D621" s="2"/>
    </row>
    <row r="622" spans="1:4" ht="16.5" customHeight="1">
      <c r="A622" s="171"/>
      <c r="B622" s="171"/>
      <c r="C622" s="11"/>
      <c r="D622" s="2"/>
    </row>
    <row r="623" spans="1:4" ht="16.5" customHeight="1">
      <c r="A623" s="171"/>
      <c r="B623" s="171"/>
      <c r="C623" s="11"/>
      <c r="D623" s="2"/>
    </row>
    <row r="624" spans="1:4" ht="16.5" customHeight="1">
      <c r="A624" s="171"/>
      <c r="B624" s="171"/>
      <c r="C624" s="11"/>
      <c r="D624" s="2"/>
    </row>
    <row r="625" spans="1:4" ht="16.5" customHeight="1">
      <c r="A625" s="171"/>
      <c r="B625" s="171"/>
      <c r="C625" s="11"/>
      <c r="D625" s="2"/>
    </row>
    <row r="626" spans="1:4" ht="16.5" customHeight="1">
      <c r="A626" s="171"/>
      <c r="B626" s="171"/>
      <c r="C626" s="11"/>
      <c r="D626" s="2"/>
    </row>
    <row r="627" spans="1:4" ht="16.5" customHeight="1">
      <c r="A627" s="171"/>
      <c r="B627" s="171"/>
      <c r="C627" s="11"/>
      <c r="D627" s="2"/>
    </row>
    <row r="628" spans="1:4" ht="16.5" customHeight="1">
      <c r="A628" s="171"/>
      <c r="B628" s="171"/>
      <c r="C628" s="11"/>
      <c r="D628" s="2"/>
    </row>
    <row r="629" spans="1:4" ht="16.5" customHeight="1">
      <c r="A629" s="171"/>
      <c r="B629" s="171"/>
      <c r="C629" s="11"/>
      <c r="D629" s="2"/>
    </row>
    <row r="630" spans="1:4" ht="16.5" customHeight="1">
      <c r="A630" s="171"/>
      <c r="B630" s="171"/>
      <c r="C630" s="11"/>
      <c r="D630" s="2"/>
    </row>
    <row r="631" spans="1:4" ht="16.5" customHeight="1">
      <c r="A631" s="171"/>
      <c r="B631" s="173"/>
      <c r="C631" s="11"/>
      <c r="D631" s="2"/>
    </row>
    <row r="632" spans="1:4" ht="16.5" customHeight="1">
      <c r="A632" s="171"/>
      <c r="B632" s="174"/>
      <c r="C632" s="11"/>
      <c r="D632" s="2"/>
    </row>
    <row r="633" spans="1:4" ht="16.5" customHeight="1">
      <c r="A633" s="171"/>
      <c r="B633" s="171"/>
      <c r="C633" s="11"/>
      <c r="D633" s="2"/>
    </row>
    <row r="634" spans="1:4" ht="16.5" customHeight="1">
      <c r="A634" s="171"/>
      <c r="B634" s="171"/>
      <c r="C634" s="11"/>
      <c r="D634" s="2"/>
    </row>
    <row r="635" spans="1:4" ht="16.5" customHeight="1">
      <c r="A635" s="171"/>
      <c r="B635" s="171"/>
      <c r="C635" s="11"/>
      <c r="D635" s="2"/>
    </row>
    <row r="636" spans="1:4" ht="16.5" customHeight="1">
      <c r="A636" s="171"/>
      <c r="B636" s="171"/>
      <c r="C636" s="11"/>
      <c r="D636" s="2"/>
    </row>
    <row r="637" spans="1:4" ht="16.5" customHeight="1">
      <c r="A637" s="171"/>
      <c r="B637" s="171"/>
      <c r="C637" s="11"/>
      <c r="D637" s="2"/>
    </row>
    <row r="638" spans="1:4" ht="16.5" customHeight="1">
      <c r="A638" s="171"/>
      <c r="B638" s="171"/>
      <c r="C638" s="11"/>
      <c r="D638" s="2"/>
    </row>
    <row r="639" spans="1:4" ht="16.5" customHeight="1">
      <c r="A639" s="171"/>
      <c r="B639" s="171"/>
      <c r="C639" s="11"/>
      <c r="D639" s="2"/>
    </row>
    <row r="640" spans="1:4" ht="16.5" customHeight="1">
      <c r="A640" s="163"/>
      <c r="B640" s="163"/>
      <c r="C640" s="11"/>
      <c r="D640" s="2"/>
    </row>
    <row r="641" spans="1:4" ht="16.5" customHeight="1">
      <c r="A641" s="163"/>
      <c r="B641" s="163"/>
      <c r="C641" s="11"/>
      <c r="D641" s="2"/>
    </row>
    <row r="642" spans="1:4" ht="16.5" customHeight="1">
      <c r="A642" s="163"/>
      <c r="B642" s="163"/>
      <c r="C642" s="11"/>
      <c r="D642" s="2"/>
    </row>
    <row r="643" spans="1:4" ht="16.5" customHeight="1">
      <c r="A643" s="163"/>
      <c r="B643" s="163"/>
      <c r="C643" s="11"/>
      <c r="D643" s="2"/>
    </row>
    <row r="644" spans="1:4" ht="16.5" customHeight="1">
      <c r="A644" s="163"/>
      <c r="B644" s="163"/>
      <c r="C644" s="11"/>
      <c r="D644" s="2"/>
    </row>
    <row r="645" spans="1:4" ht="16.5" customHeight="1">
      <c r="A645" s="163"/>
      <c r="B645" s="163"/>
      <c r="C645" s="11"/>
      <c r="D645" s="2"/>
    </row>
    <row r="646" spans="2:4" ht="16.5" customHeight="1">
      <c r="B646" s="157"/>
      <c r="C646" s="11"/>
      <c r="D646" s="2"/>
    </row>
    <row r="647" spans="2:4" ht="16.5" customHeight="1">
      <c r="B647" s="157"/>
      <c r="C647" s="11"/>
      <c r="D647" s="2"/>
    </row>
    <row r="648" spans="2:4" ht="16.5" customHeight="1">
      <c r="B648" s="157"/>
      <c r="C648" s="11"/>
      <c r="D648" s="2"/>
    </row>
    <row r="649" spans="2:4" ht="16.5" customHeight="1">
      <c r="B649" s="157"/>
      <c r="C649" s="11"/>
      <c r="D649" s="2"/>
    </row>
    <row r="650" spans="2:4" ht="16.5" customHeight="1">
      <c r="B650" s="157"/>
      <c r="C650" s="11"/>
      <c r="D650" s="2"/>
    </row>
    <row r="651" spans="2:4" ht="16.5" customHeight="1">
      <c r="B651" s="157"/>
      <c r="C651" s="11"/>
      <c r="D651" s="2"/>
    </row>
    <row r="652" spans="2:4" ht="16.5" customHeight="1">
      <c r="B652" s="157"/>
      <c r="C652" s="11"/>
      <c r="D652" s="2"/>
    </row>
    <row r="653" spans="2:4" ht="16.5" customHeight="1">
      <c r="B653" s="157"/>
      <c r="C653" s="11"/>
      <c r="D653" s="2"/>
    </row>
    <row r="654" spans="2:4" ht="16.5" customHeight="1">
      <c r="B654" s="157"/>
      <c r="C654" s="11"/>
      <c r="D654" s="2"/>
    </row>
    <row r="655" spans="2:4" ht="16.5" customHeight="1">
      <c r="B655" s="157"/>
      <c r="C655" s="11"/>
      <c r="D655" s="2"/>
    </row>
    <row r="656" spans="2:4" ht="16.5" customHeight="1">
      <c r="B656" s="157"/>
      <c r="C656" s="11"/>
      <c r="D656" s="2"/>
    </row>
    <row r="657" spans="2:4" ht="16.5" customHeight="1">
      <c r="B657" s="157"/>
      <c r="C657" s="11"/>
      <c r="D657" s="2"/>
    </row>
    <row r="658" spans="2:4" ht="16.5" customHeight="1">
      <c r="B658" s="157"/>
      <c r="C658" s="11"/>
      <c r="D658" s="2"/>
    </row>
    <row r="659" spans="2:4" ht="16.5" customHeight="1">
      <c r="B659" s="157"/>
      <c r="C659" s="11"/>
      <c r="D659" s="2"/>
    </row>
    <row r="660" spans="2:4" ht="16.5" customHeight="1">
      <c r="B660" s="157"/>
      <c r="C660" s="11"/>
      <c r="D660" s="2"/>
    </row>
    <row r="661" spans="2:4" ht="16.5" customHeight="1">
      <c r="B661" s="157"/>
      <c r="C661" s="11"/>
      <c r="D661" s="2"/>
    </row>
    <row r="662" spans="2:4" ht="16.5" customHeight="1">
      <c r="B662" s="157"/>
      <c r="C662" s="11"/>
      <c r="D662" s="2"/>
    </row>
    <row r="663" spans="2:4" ht="16.5" customHeight="1">
      <c r="B663" s="157"/>
      <c r="C663" s="11"/>
      <c r="D663" s="2"/>
    </row>
    <row r="664" spans="2:4" ht="16.5" customHeight="1">
      <c r="B664" s="157"/>
      <c r="C664" s="11"/>
      <c r="D664" s="2"/>
    </row>
    <row r="665" spans="2:4" ht="16.5" customHeight="1">
      <c r="B665" s="157"/>
      <c r="C665" s="11"/>
      <c r="D665" s="2"/>
    </row>
    <row r="666" spans="2:4" ht="16.5" customHeight="1">
      <c r="B666" s="157"/>
      <c r="C666" s="11"/>
      <c r="D666" s="2"/>
    </row>
    <row r="667" spans="2:4" ht="16.5" customHeight="1">
      <c r="B667" s="157"/>
      <c r="C667" s="11"/>
      <c r="D667" s="2"/>
    </row>
    <row r="668" spans="2:4" ht="16.5" customHeight="1">
      <c r="B668" s="157"/>
      <c r="C668" s="11"/>
      <c r="D668" s="2"/>
    </row>
    <row r="669" spans="2:4" ht="16.5" customHeight="1">
      <c r="B669" s="157"/>
      <c r="C669" s="11"/>
      <c r="D669" s="2"/>
    </row>
    <row r="670" spans="2:4" ht="16.5" customHeight="1">
      <c r="B670" s="157"/>
      <c r="C670" s="11"/>
      <c r="D670" s="2"/>
    </row>
    <row r="671" spans="2:4" ht="16.5" customHeight="1">
      <c r="B671" s="157"/>
      <c r="C671" s="11"/>
      <c r="D671" s="2"/>
    </row>
    <row r="672" spans="2:4" ht="16.5" customHeight="1">
      <c r="B672" s="157"/>
      <c r="C672" s="11"/>
      <c r="D672" s="2"/>
    </row>
    <row r="673" spans="2:4" ht="16.5" customHeight="1">
      <c r="B673" s="157"/>
      <c r="C673" s="11"/>
      <c r="D673" s="2"/>
    </row>
    <row r="674" spans="2:4" ht="16.5" customHeight="1">
      <c r="B674" s="157"/>
      <c r="C674" s="11"/>
      <c r="D674" s="2"/>
    </row>
    <row r="675" spans="2:4" ht="16.5" customHeight="1">
      <c r="B675" s="157"/>
      <c r="C675" s="11"/>
      <c r="D675" s="2"/>
    </row>
    <row r="676" spans="2:4" ht="16.5" customHeight="1">
      <c r="B676" s="157"/>
      <c r="C676" s="11"/>
      <c r="D676" s="2"/>
    </row>
    <row r="677" spans="2:4" ht="16.5" customHeight="1">
      <c r="B677" s="157"/>
      <c r="C677" s="11"/>
      <c r="D677" s="2"/>
    </row>
    <row r="678" spans="2:4" ht="16.5" customHeight="1">
      <c r="B678" s="157"/>
      <c r="C678" s="11"/>
      <c r="D678" s="2"/>
    </row>
    <row r="679" spans="2:4" ht="16.5" customHeight="1">
      <c r="B679" s="157"/>
      <c r="C679" s="11"/>
      <c r="D679" s="2"/>
    </row>
    <row r="680" spans="2:4" ht="16.5" customHeight="1">
      <c r="B680" s="157"/>
      <c r="C680" s="11"/>
      <c r="D680" s="2"/>
    </row>
    <row r="681" spans="2:4" ht="16.5" customHeight="1">
      <c r="B681" s="157"/>
      <c r="C681" s="11"/>
      <c r="D681" s="2"/>
    </row>
    <row r="682" spans="2:4" ht="16.5" customHeight="1">
      <c r="B682" s="157"/>
      <c r="C682" s="11"/>
      <c r="D682" s="2"/>
    </row>
    <row r="683" spans="2:4" ht="16.5" customHeight="1">
      <c r="B683" s="157"/>
      <c r="C683" s="11"/>
      <c r="D683" s="2"/>
    </row>
    <row r="684" spans="2:4" ht="16.5" customHeight="1">
      <c r="B684" s="157"/>
      <c r="C684" s="11"/>
      <c r="D684" s="2"/>
    </row>
    <row r="685" spans="2:4" ht="16.5" customHeight="1">
      <c r="B685" s="157"/>
      <c r="C685" s="11"/>
      <c r="D685" s="2"/>
    </row>
    <row r="686" spans="2:4" ht="16.5" customHeight="1">
      <c r="B686" s="157"/>
      <c r="C686" s="11"/>
      <c r="D686" s="2"/>
    </row>
    <row r="687" spans="2:4" ht="16.5" customHeight="1">
      <c r="B687" s="157"/>
      <c r="C687" s="11"/>
      <c r="D687" s="2"/>
    </row>
    <row r="688" spans="2:4" ht="16.5" customHeight="1">
      <c r="B688" s="157"/>
      <c r="C688" s="11"/>
      <c r="D688" s="2"/>
    </row>
    <row r="689" spans="2:4" ht="16.5" customHeight="1">
      <c r="B689" s="157"/>
      <c r="C689" s="11"/>
      <c r="D689" s="2"/>
    </row>
    <row r="690" spans="2:4" ht="16.5" customHeight="1">
      <c r="B690" s="157"/>
      <c r="C690" s="11"/>
      <c r="D690" s="2"/>
    </row>
    <row r="691" spans="2:4" ht="16.5" customHeight="1">
      <c r="B691" s="157"/>
      <c r="C691" s="11"/>
      <c r="D691" s="2"/>
    </row>
    <row r="692" spans="2:4" ht="16.5" customHeight="1">
      <c r="B692" s="157"/>
      <c r="C692" s="11"/>
      <c r="D692" s="2"/>
    </row>
    <row r="693" spans="2:4" ht="16.5" customHeight="1">
      <c r="B693" s="157"/>
      <c r="C693" s="11"/>
      <c r="D693" s="2"/>
    </row>
    <row r="694" spans="2:4" ht="16.5" customHeight="1">
      <c r="B694" s="157"/>
      <c r="C694" s="11"/>
      <c r="D694" s="2"/>
    </row>
    <row r="695" spans="2:4" ht="16.5" customHeight="1">
      <c r="B695" s="157"/>
      <c r="C695" s="11"/>
      <c r="D695" s="2"/>
    </row>
    <row r="696" spans="2:4" ht="16.5" customHeight="1">
      <c r="B696" s="157"/>
      <c r="C696" s="11"/>
      <c r="D696" s="2"/>
    </row>
    <row r="697" spans="2:4" ht="16.5" customHeight="1">
      <c r="B697" s="157"/>
      <c r="C697" s="11"/>
      <c r="D697" s="2"/>
    </row>
    <row r="698" spans="2:4" ht="16.5" customHeight="1">
      <c r="B698" s="157"/>
      <c r="C698" s="11"/>
      <c r="D698" s="2"/>
    </row>
    <row r="699" spans="2:4" ht="16.5" customHeight="1">
      <c r="B699" s="157"/>
      <c r="C699" s="11"/>
      <c r="D699" s="2"/>
    </row>
    <row r="700" spans="2:4" ht="16.5" customHeight="1">
      <c r="B700" s="157"/>
      <c r="C700" s="11"/>
      <c r="D700" s="2"/>
    </row>
    <row r="701" spans="2:4" ht="16.5" customHeight="1">
      <c r="B701" s="157"/>
      <c r="C701" s="11"/>
      <c r="D701" s="2"/>
    </row>
    <row r="702" spans="2:4" ht="16.5" customHeight="1">
      <c r="B702" s="157"/>
      <c r="C702" s="11"/>
      <c r="D702" s="2"/>
    </row>
    <row r="703" spans="2:4" ht="16.5" customHeight="1">
      <c r="B703" s="157"/>
      <c r="C703" s="11"/>
      <c r="D703" s="2"/>
    </row>
    <row r="704" spans="2:4" ht="16.5" customHeight="1">
      <c r="B704" s="157"/>
      <c r="C704" s="11"/>
      <c r="D704" s="2"/>
    </row>
    <row r="705" spans="2:4" ht="16.5" customHeight="1">
      <c r="B705" s="157"/>
      <c r="C705" s="11"/>
      <c r="D705" s="2"/>
    </row>
    <row r="706" spans="2:4" ht="16.5" customHeight="1">
      <c r="B706" s="157"/>
      <c r="C706" s="11"/>
      <c r="D706" s="2"/>
    </row>
    <row r="707" spans="2:4" ht="16.5" customHeight="1">
      <c r="B707" s="157"/>
      <c r="C707" s="11"/>
      <c r="D707" s="2"/>
    </row>
    <row r="708" spans="2:4" ht="16.5" customHeight="1">
      <c r="B708" s="157"/>
      <c r="C708" s="11"/>
      <c r="D708" s="2"/>
    </row>
    <row r="709" spans="2:4" ht="16.5" customHeight="1">
      <c r="B709" s="157"/>
      <c r="C709" s="11"/>
      <c r="D709" s="2"/>
    </row>
    <row r="710" spans="2:4" ht="16.5" customHeight="1">
      <c r="B710" s="157"/>
      <c r="C710" s="11"/>
      <c r="D710" s="2"/>
    </row>
    <row r="711" spans="2:4" ht="16.5" customHeight="1">
      <c r="B711" s="157"/>
      <c r="C711" s="11"/>
      <c r="D711" s="2"/>
    </row>
    <row r="712" spans="2:4" ht="16.5" customHeight="1">
      <c r="B712" s="157"/>
      <c r="C712" s="11"/>
      <c r="D712" s="2"/>
    </row>
    <row r="713" spans="2:4" ht="16.5" customHeight="1">
      <c r="B713" s="157"/>
      <c r="C713" s="11"/>
      <c r="D713" s="2"/>
    </row>
    <row r="714" spans="2:4" ht="16.5" customHeight="1">
      <c r="B714" s="157"/>
      <c r="C714" s="11"/>
      <c r="D714" s="2"/>
    </row>
    <row r="715" spans="2:4" ht="16.5" customHeight="1">
      <c r="B715" s="157"/>
      <c r="C715" s="11"/>
      <c r="D715" s="2"/>
    </row>
    <row r="716" spans="2:4" ht="16.5" customHeight="1">
      <c r="B716" s="157"/>
      <c r="C716" s="11"/>
      <c r="D716" s="2"/>
    </row>
    <row r="717" spans="2:4" ht="16.5" customHeight="1">
      <c r="B717" s="157"/>
      <c r="C717" s="11"/>
      <c r="D717" s="2"/>
    </row>
    <row r="718" spans="2:4" ht="16.5" customHeight="1">
      <c r="B718" s="157"/>
      <c r="C718" s="11"/>
      <c r="D718" s="2"/>
    </row>
    <row r="719" spans="2:4" ht="16.5" customHeight="1">
      <c r="B719" s="157"/>
      <c r="C719" s="11"/>
      <c r="D719" s="2"/>
    </row>
    <row r="720" spans="2:4" ht="16.5" customHeight="1">
      <c r="B720" s="157"/>
      <c r="C720" s="11"/>
      <c r="D720" s="2"/>
    </row>
    <row r="721" spans="2:4" ht="16.5" customHeight="1">
      <c r="B721" s="157"/>
      <c r="C721" s="11"/>
      <c r="D721" s="2"/>
    </row>
    <row r="722" spans="2:4" ht="16.5" customHeight="1">
      <c r="B722" s="157"/>
      <c r="C722" s="11"/>
      <c r="D722" s="2"/>
    </row>
    <row r="723" spans="2:4" ht="16.5" customHeight="1">
      <c r="B723" s="157"/>
      <c r="C723" s="11"/>
      <c r="D723" s="2"/>
    </row>
    <row r="724" spans="2:4" ht="16.5" customHeight="1">
      <c r="B724" s="157"/>
      <c r="C724" s="11"/>
      <c r="D724" s="2"/>
    </row>
    <row r="725" spans="2:4" ht="16.5" customHeight="1">
      <c r="B725" s="157"/>
      <c r="C725" s="11"/>
      <c r="D725" s="2"/>
    </row>
    <row r="726" spans="2:4" ht="16.5" customHeight="1">
      <c r="B726" s="157"/>
      <c r="C726" s="11"/>
      <c r="D726" s="2"/>
    </row>
    <row r="727" spans="2:4" ht="16.5" customHeight="1">
      <c r="B727" s="157"/>
      <c r="C727" s="11"/>
      <c r="D727" s="2"/>
    </row>
    <row r="728" spans="2:4" ht="16.5" customHeight="1">
      <c r="B728" s="157"/>
      <c r="C728" s="11"/>
      <c r="D728" s="2"/>
    </row>
    <row r="729" spans="2:4" ht="16.5" customHeight="1">
      <c r="B729" s="157"/>
      <c r="C729" s="11"/>
      <c r="D729" s="2"/>
    </row>
    <row r="730" spans="2:4" ht="16.5" customHeight="1">
      <c r="B730" s="157"/>
      <c r="C730" s="11"/>
      <c r="D730" s="2"/>
    </row>
    <row r="731" spans="2:4" ht="16.5" customHeight="1">
      <c r="B731" s="157"/>
      <c r="C731" s="11"/>
      <c r="D731" s="2"/>
    </row>
    <row r="732" spans="2:4" ht="16.5" customHeight="1">
      <c r="B732" s="157"/>
      <c r="C732" s="11"/>
      <c r="D732" s="2"/>
    </row>
    <row r="733" spans="2:4" ht="16.5" customHeight="1">
      <c r="B733" s="157"/>
      <c r="C733" s="11"/>
      <c r="D733" s="2"/>
    </row>
    <row r="734" spans="2:4" ht="16.5" customHeight="1">
      <c r="B734" s="157"/>
      <c r="C734" s="11"/>
      <c r="D734" s="2"/>
    </row>
    <row r="735" spans="2:4" ht="16.5" customHeight="1">
      <c r="B735" s="157"/>
      <c r="C735" s="11"/>
      <c r="D735" s="2"/>
    </row>
    <row r="736" spans="2:4" ht="16.5" customHeight="1">
      <c r="B736" s="157"/>
      <c r="C736" s="11"/>
      <c r="D736" s="2"/>
    </row>
    <row r="737" spans="2:4" ht="16.5" customHeight="1">
      <c r="B737" s="157"/>
      <c r="C737" s="11"/>
      <c r="D737" s="2"/>
    </row>
    <row r="738" spans="2:4" ht="16.5" customHeight="1">
      <c r="B738" s="157"/>
      <c r="C738" s="11"/>
      <c r="D738" s="2"/>
    </row>
    <row r="739" spans="2:4" ht="16.5" customHeight="1">
      <c r="B739" s="157"/>
      <c r="C739" s="11"/>
      <c r="D739" s="2"/>
    </row>
    <row r="740" spans="2:4" ht="16.5" customHeight="1">
      <c r="B740" s="157"/>
      <c r="C740" s="11"/>
      <c r="D740" s="2"/>
    </row>
    <row r="741" spans="2:4" ht="16.5" customHeight="1">
      <c r="B741" s="157"/>
      <c r="C741" s="11"/>
      <c r="D741" s="2"/>
    </row>
    <row r="742" spans="2:4" ht="16.5" customHeight="1">
      <c r="B742" s="157"/>
      <c r="C742" s="11"/>
      <c r="D742" s="2"/>
    </row>
    <row r="743" spans="2:4" ht="16.5" customHeight="1">
      <c r="B743" s="157"/>
      <c r="C743" s="11"/>
      <c r="D743" s="2"/>
    </row>
    <row r="744" spans="2:4" ht="16.5" customHeight="1">
      <c r="B744" s="157"/>
      <c r="C744" s="11"/>
      <c r="D744" s="2"/>
    </row>
    <row r="745" spans="2:4" ht="16.5" customHeight="1">
      <c r="B745" s="157"/>
      <c r="C745" s="11"/>
      <c r="D745" s="2"/>
    </row>
    <row r="746" spans="2:4" ht="16.5" customHeight="1">
      <c r="B746" s="157"/>
      <c r="C746" s="11"/>
      <c r="D746" s="2"/>
    </row>
    <row r="747" spans="2:4" ht="16.5" customHeight="1">
      <c r="B747" s="157"/>
      <c r="C747" s="11"/>
      <c r="D747" s="2"/>
    </row>
    <row r="748" spans="2:4" ht="16.5" customHeight="1">
      <c r="B748" s="157"/>
      <c r="C748" s="11"/>
      <c r="D748" s="2"/>
    </row>
    <row r="749" spans="2:4" ht="16.5" customHeight="1">
      <c r="B749" s="157"/>
      <c r="C749" s="11"/>
      <c r="D749" s="2"/>
    </row>
    <row r="750" spans="2:4" ht="16.5" customHeight="1">
      <c r="B750" s="157"/>
      <c r="C750" s="11"/>
      <c r="D750" s="2"/>
    </row>
    <row r="751" spans="2:4" ht="16.5" customHeight="1">
      <c r="B751" s="157"/>
      <c r="C751" s="11"/>
      <c r="D751" s="2"/>
    </row>
    <row r="752" spans="2:4" ht="16.5" customHeight="1">
      <c r="B752" s="157"/>
      <c r="C752" s="11"/>
      <c r="D752" s="2"/>
    </row>
    <row r="753" spans="2:4" ht="16.5" customHeight="1">
      <c r="B753" s="157"/>
      <c r="C753" s="11"/>
      <c r="D753" s="2"/>
    </row>
    <row r="754" spans="2:4" ht="16.5" customHeight="1">
      <c r="B754" s="157"/>
      <c r="C754" s="11"/>
      <c r="D754" s="2"/>
    </row>
    <row r="755" spans="2:4" ht="16.5" customHeight="1">
      <c r="B755" s="157"/>
      <c r="C755" s="11"/>
      <c r="D755" s="2"/>
    </row>
    <row r="756" spans="2:4" ht="16.5" customHeight="1">
      <c r="B756" s="157"/>
      <c r="C756" s="11"/>
      <c r="D756" s="2"/>
    </row>
    <row r="757" spans="2:4" ht="16.5" customHeight="1">
      <c r="B757" s="157"/>
      <c r="C757" s="11"/>
      <c r="D757" s="2"/>
    </row>
    <row r="758" spans="2:4" ht="16.5" customHeight="1">
      <c r="B758" s="157"/>
      <c r="C758" s="11"/>
      <c r="D758" s="2"/>
    </row>
    <row r="759" spans="2:4" ht="16.5" customHeight="1">
      <c r="B759" s="157"/>
      <c r="C759" s="11"/>
      <c r="D759" s="2"/>
    </row>
    <row r="760" spans="2:4" ht="16.5" customHeight="1">
      <c r="B760" s="157"/>
      <c r="C760" s="11"/>
      <c r="D760" s="2"/>
    </row>
    <row r="761" spans="2:4" ht="16.5" customHeight="1">
      <c r="B761" s="157"/>
      <c r="C761" s="11"/>
      <c r="D761" s="2"/>
    </row>
    <row r="762" spans="2:4" ht="16.5" customHeight="1">
      <c r="B762" s="157"/>
      <c r="C762" s="11"/>
      <c r="D762" s="2"/>
    </row>
    <row r="763" spans="2:4" ht="16.5" customHeight="1">
      <c r="B763" s="157"/>
      <c r="C763" s="11"/>
      <c r="D763" s="2"/>
    </row>
    <row r="764" spans="2:4" ht="16.5" customHeight="1">
      <c r="B764" s="157"/>
      <c r="C764" s="11"/>
      <c r="D764" s="2"/>
    </row>
    <row r="765" spans="2:4" ht="16.5" customHeight="1">
      <c r="B765" s="157"/>
      <c r="C765" s="11"/>
      <c r="D765" s="2"/>
    </row>
    <row r="766" spans="2:4" ht="16.5" customHeight="1">
      <c r="B766" s="157"/>
      <c r="C766" s="11"/>
      <c r="D766" s="2"/>
    </row>
    <row r="767" spans="2:4" ht="16.5" customHeight="1">
      <c r="B767" s="157"/>
      <c r="C767" s="11"/>
      <c r="D767" s="2"/>
    </row>
    <row r="768" spans="2:4" ht="16.5" customHeight="1">
      <c r="B768" s="157"/>
      <c r="C768" s="11"/>
      <c r="D768" s="2"/>
    </row>
    <row r="769" spans="2:4" ht="16.5" customHeight="1">
      <c r="B769" s="157"/>
      <c r="C769" s="11"/>
      <c r="D769" s="2"/>
    </row>
    <row r="770" spans="2:4" ht="16.5" customHeight="1">
      <c r="B770" s="157"/>
      <c r="C770" s="11"/>
      <c r="D770" s="2"/>
    </row>
    <row r="771" spans="2:4" ht="16.5" customHeight="1">
      <c r="B771" s="157"/>
      <c r="C771" s="11"/>
      <c r="D771" s="2"/>
    </row>
    <row r="772" spans="2:4" ht="16.5" customHeight="1">
      <c r="B772" s="157"/>
      <c r="C772" s="11"/>
      <c r="D772" s="2"/>
    </row>
    <row r="773" spans="2:4" ht="16.5" customHeight="1">
      <c r="B773" s="157"/>
      <c r="C773" s="11"/>
      <c r="D773" s="2"/>
    </row>
    <row r="774" spans="2:4" ht="16.5" customHeight="1">
      <c r="B774" s="157"/>
      <c r="C774" s="11"/>
      <c r="D774" s="2"/>
    </row>
    <row r="775" spans="2:4" ht="16.5" customHeight="1">
      <c r="B775" s="157"/>
      <c r="C775" s="11"/>
      <c r="D775" s="2"/>
    </row>
    <row r="776" spans="2:4" ht="16.5" customHeight="1">
      <c r="B776" s="157"/>
      <c r="C776" s="11"/>
      <c r="D776" s="2"/>
    </row>
    <row r="777" spans="2:4" ht="16.5" customHeight="1">
      <c r="B777" s="157"/>
      <c r="C777" s="11"/>
      <c r="D777" s="2"/>
    </row>
    <row r="778" spans="2:4" ht="16.5" customHeight="1">
      <c r="B778" s="157"/>
      <c r="C778" s="11"/>
      <c r="D778" s="2"/>
    </row>
    <row r="779" spans="2:4" ht="16.5" customHeight="1">
      <c r="B779" s="157"/>
      <c r="C779" s="11"/>
      <c r="D779" s="2"/>
    </row>
    <row r="780" spans="2:4" ht="16.5" customHeight="1">
      <c r="B780" s="157"/>
      <c r="C780" s="11"/>
      <c r="D780" s="2"/>
    </row>
    <row r="781" spans="2:4" ht="16.5" customHeight="1">
      <c r="B781" s="157"/>
      <c r="C781" s="11"/>
      <c r="D781" s="2"/>
    </row>
    <row r="782" spans="2:4" ht="16.5" customHeight="1">
      <c r="B782" s="157"/>
      <c r="C782" s="11"/>
      <c r="D782" s="2"/>
    </row>
    <row r="783" spans="2:4" ht="16.5" customHeight="1">
      <c r="B783" s="157"/>
      <c r="C783" s="11"/>
      <c r="D783" s="2"/>
    </row>
    <row r="784" spans="2:4" ht="16.5" customHeight="1">
      <c r="B784" s="157"/>
      <c r="C784" s="11"/>
      <c r="D784" s="2"/>
    </row>
    <row r="785" spans="2:4" ht="16.5" customHeight="1">
      <c r="B785" s="157"/>
      <c r="C785" s="11"/>
      <c r="D785" s="2"/>
    </row>
    <row r="786" spans="2:4" ht="16.5" customHeight="1">
      <c r="B786" s="157"/>
      <c r="C786" s="11"/>
      <c r="D786" s="2"/>
    </row>
    <row r="787" spans="2:4" ht="16.5" customHeight="1">
      <c r="B787" s="157"/>
      <c r="C787" s="11"/>
      <c r="D787" s="2"/>
    </row>
    <row r="788" spans="2:4" ht="16.5" customHeight="1">
      <c r="B788" s="157"/>
      <c r="C788" s="11"/>
      <c r="D788" s="2"/>
    </row>
    <row r="789" spans="2:4" ht="16.5" customHeight="1">
      <c r="B789" s="157"/>
      <c r="C789" s="11"/>
      <c r="D789" s="2"/>
    </row>
    <row r="790" spans="2:4" ht="16.5" customHeight="1">
      <c r="B790" s="157"/>
      <c r="C790" s="11"/>
      <c r="D790" s="2"/>
    </row>
    <row r="791" spans="2:4" ht="16.5" customHeight="1">
      <c r="B791" s="157"/>
      <c r="C791" s="11"/>
      <c r="D791" s="2"/>
    </row>
    <row r="792" spans="2:4" ht="16.5" customHeight="1">
      <c r="B792" s="157"/>
      <c r="C792" s="11"/>
      <c r="D792" s="2"/>
    </row>
    <row r="793" spans="2:4" ht="16.5" customHeight="1">
      <c r="B793" s="157"/>
      <c r="C793" s="11"/>
      <c r="D793" s="2"/>
    </row>
    <row r="794" spans="2:4" ht="16.5" customHeight="1">
      <c r="B794" s="157"/>
      <c r="C794" s="11"/>
      <c r="D794" s="2"/>
    </row>
    <row r="795" spans="2:4" ht="16.5" customHeight="1">
      <c r="B795" s="157"/>
      <c r="C795" s="11"/>
      <c r="D795" s="2"/>
    </row>
    <row r="796" spans="2:4" ht="16.5" customHeight="1">
      <c r="B796" s="157"/>
      <c r="C796" s="11"/>
      <c r="D796" s="2"/>
    </row>
    <row r="797" spans="2:4" ht="16.5" customHeight="1">
      <c r="B797" s="157"/>
      <c r="C797" s="11"/>
      <c r="D797" s="2"/>
    </row>
    <row r="798" spans="2:4" ht="16.5" customHeight="1">
      <c r="B798" s="157"/>
      <c r="C798" s="11"/>
      <c r="D798" s="2"/>
    </row>
    <row r="799" spans="2:4" ht="16.5" customHeight="1">
      <c r="B799" s="157"/>
      <c r="C799" s="11"/>
      <c r="D799" s="2"/>
    </row>
    <row r="800" spans="2:4" ht="16.5" customHeight="1">
      <c r="B800" s="157"/>
      <c r="C800" s="11"/>
      <c r="D800" s="2"/>
    </row>
    <row r="801" spans="2:4" ht="16.5" customHeight="1">
      <c r="B801" s="157"/>
      <c r="C801" s="11"/>
      <c r="D801" s="2"/>
    </row>
    <row r="802" spans="2:4" ht="16.5" customHeight="1">
      <c r="B802" s="157"/>
      <c r="C802" s="11"/>
      <c r="D802" s="2"/>
    </row>
    <row r="803" spans="2:4" ht="16.5" customHeight="1">
      <c r="B803" s="157"/>
      <c r="C803" s="11"/>
      <c r="D803" s="2"/>
    </row>
    <row r="804" spans="2:4" ht="16.5" customHeight="1">
      <c r="B804" s="157"/>
      <c r="C804" s="11"/>
      <c r="D804" s="2"/>
    </row>
    <row r="805" spans="2:4" ht="16.5" customHeight="1">
      <c r="B805" s="157"/>
      <c r="C805" s="11"/>
      <c r="D805" s="2"/>
    </row>
    <row r="806" spans="2:4" ht="16.5" customHeight="1">
      <c r="B806" s="157"/>
      <c r="C806" s="11"/>
      <c r="D806" s="2"/>
    </row>
    <row r="807" spans="2:4" ht="16.5" customHeight="1">
      <c r="B807" s="157"/>
      <c r="C807" s="11"/>
      <c r="D807" s="2"/>
    </row>
    <row r="808" spans="2:4" ht="16.5" customHeight="1">
      <c r="B808" s="157"/>
      <c r="C808" s="11"/>
      <c r="D808" s="2"/>
    </row>
    <row r="809" spans="2:4" ht="16.5" customHeight="1">
      <c r="B809" s="157"/>
      <c r="C809" s="11"/>
      <c r="D809" s="2"/>
    </row>
    <row r="810" spans="2:4" ht="16.5" customHeight="1">
      <c r="B810" s="157"/>
      <c r="C810" s="11"/>
      <c r="D810" s="2"/>
    </row>
    <row r="811" spans="2:4" ht="16.5" customHeight="1">
      <c r="B811" s="157"/>
      <c r="C811" s="11"/>
      <c r="D811" s="2"/>
    </row>
    <row r="812" spans="2:4" ht="16.5" customHeight="1">
      <c r="B812" s="157"/>
      <c r="C812" s="11"/>
      <c r="D812" s="2"/>
    </row>
    <row r="813" spans="2:4" ht="16.5" customHeight="1">
      <c r="B813" s="157"/>
      <c r="C813" s="11"/>
      <c r="D813" s="2"/>
    </row>
    <row r="814" spans="2:4" ht="16.5" customHeight="1">
      <c r="B814" s="157"/>
      <c r="C814" s="11"/>
      <c r="D814" s="2"/>
    </row>
    <row r="815" spans="2:4" ht="16.5" customHeight="1">
      <c r="B815" s="157"/>
      <c r="C815" s="11"/>
      <c r="D815" s="2"/>
    </row>
    <row r="816" spans="2:4" ht="16.5" customHeight="1">
      <c r="B816" s="157"/>
      <c r="C816" s="11"/>
      <c r="D816" s="2"/>
    </row>
    <row r="817" spans="2:4" ht="16.5" customHeight="1">
      <c r="B817" s="157"/>
      <c r="C817" s="11"/>
      <c r="D817" s="2"/>
    </row>
    <row r="818" spans="2:4" ht="16.5" customHeight="1">
      <c r="B818" s="157"/>
      <c r="C818" s="11"/>
      <c r="D818" s="2"/>
    </row>
    <row r="819" spans="2:4" ht="16.5" customHeight="1">
      <c r="B819" s="157"/>
      <c r="C819" s="11"/>
      <c r="D819" s="2"/>
    </row>
    <row r="820" spans="2:4" ht="16.5" customHeight="1">
      <c r="B820" s="157"/>
      <c r="C820" s="11"/>
      <c r="D820" s="2"/>
    </row>
    <row r="821" spans="2:4" ht="16.5" customHeight="1">
      <c r="B821" s="157"/>
      <c r="C821" s="11"/>
      <c r="D821" s="2"/>
    </row>
    <row r="822" spans="2:4" ht="16.5" customHeight="1">
      <c r="B822" s="157"/>
      <c r="C822" s="11"/>
      <c r="D822" s="2"/>
    </row>
    <row r="823" spans="2:4" ht="16.5" customHeight="1">
      <c r="B823" s="157"/>
      <c r="C823" s="11"/>
      <c r="D823" s="2"/>
    </row>
    <row r="824" spans="2:4" ht="16.5" customHeight="1">
      <c r="B824" s="157"/>
      <c r="C824" s="11"/>
      <c r="D824" s="2"/>
    </row>
    <row r="825" spans="2:4" ht="16.5" customHeight="1">
      <c r="B825" s="157"/>
      <c r="C825" s="11"/>
      <c r="D825" s="2"/>
    </row>
    <row r="826" spans="2:4" ht="16.5" customHeight="1">
      <c r="B826" s="157"/>
      <c r="C826" s="11"/>
      <c r="D826" s="2"/>
    </row>
    <row r="827" spans="2:4" ht="16.5" customHeight="1">
      <c r="B827" s="157"/>
      <c r="C827" s="11"/>
      <c r="D827" s="2"/>
    </row>
    <row r="828" spans="2:4" ht="16.5" customHeight="1">
      <c r="B828" s="157"/>
      <c r="C828" s="11"/>
      <c r="D828" s="2"/>
    </row>
    <row r="829" spans="2:4" ht="16.5" customHeight="1">
      <c r="B829" s="157"/>
      <c r="C829" s="11"/>
      <c r="D829" s="2"/>
    </row>
    <row r="830" spans="2:4" ht="16.5" customHeight="1">
      <c r="B830" s="157"/>
      <c r="C830" s="11"/>
      <c r="D830" s="2"/>
    </row>
    <row r="831" spans="2:4" ht="16.5" customHeight="1">
      <c r="B831" s="157"/>
      <c r="C831" s="11"/>
      <c r="D831" s="2"/>
    </row>
    <row r="832" spans="2:4" ht="16.5" customHeight="1">
      <c r="B832" s="157"/>
      <c r="C832" s="11"/>
      <c r="D832" s="2"/>
    </row>
    <row r="833" spans="2:4" ht="16.5" customHeight="1">
      <c r="B833" s="157"/>
      <c r="C833" s="11"/>
      <c r="D833" s="2"/>
    </row>
    <row r="834" spans="2:4" ht="16.5" customHeight="1">
      <c r="B834" s="157"/>
      <c r="C834" s="11"/>
      <c r="D834" s="2"/>
    </row>
    <row r="835" spans="2:4" ht="16.5" customHeight="1">
      <c r="B835" s="157"/>
      <c r="C835" s="11"/>
      <c r="D835" s="2"/>
    </row>
    <row r="836" spans="2:4" ht="16.5" customHeight="1">
      <c r="B836" s="157"/>
      <c r="C836" s="11"/>
      <c r="D836" s="2"/>
    </row>
    <row r="837" spans="2:4" ht="16.5" customHeight="1">
      <c r="B837" s="157"/>
      <c r="C837" s="11"/>
      <c r="D837" s="2"/>
    </row>
    <row r="838" spans="2:4" ht="16.5" customHeight="1">
      <c r="B838" s="157"/>
      <c r="C838" s="11"/>
      <c r="D838" s="2"/>
    </row>
    <row r="839" spans="2:4" ht="16.5" customHeight="1">
      <c r="B839" s="157"/>
      <c r="C839" s="11"/>
      <c r="D839" s="2"/>
    </row>
    <row r="840" spans="2:4" ht="16.5" customHeight="1">
      <c r="B840" s="157"/>
      <c r="C840" s="11"/>
      <c r="D840" s="2"/>
    </row>
    <row r="841" spans="2:4" ht="16.5" customHeight="1">
      <c r="B841" s="157"/>
      <c r="C841" s="11"/>
      <c r="D841" s="2"/>
    </row>
    <row r="842" spans="2:4" ht="16.5" customHeight="1">
      <c r="B842" s="157"/>
      <c r="C842" s="11"/>
      <c r="D842" s="2"/>
    </row>
    <row r="843" spans="2:4" ht="16.5" customHeight="1">
      <c r="B843" s="157"/>
      <c r="C843" s="11"/>
      <c r="D843" s="2"/>
    </row>
    <row r="844" spans="2:4" ht="16.5" customHeight="1">
      <c r="B844" s="157"/>
      <c r="C844" s="11"/>
      <c r="D844" s="2"/>
    </row>
    <row r="845" spans="2:4" ht="16.5" customHeight="1">
      <c r="B845" s="157"/>
      <c r="C845" s="11"/>
      <c r="D845" s="2"/>
    </row>
    <row r="846" spans="2:4" ht="16.5" customHeight="1">
      <c r="B846" s="157"/>
      <c r="C846" s="11"/>
      <c r="D846" s="2"/>
    </row>
    <row r="847" spans="2:4" ht="16.5" customHeight="1">
      <c r="B847" s="157"/>
      <c r="C847" s="11"/>
      <c r="D847" s="2"/>
    </row>
  </sheetData>
  <sheetProtection/>
  <mergeCells count="8">
    <mergeCell ref="A3:D3"/>
    <mergeCell ref="A56:D56"/>
    <mergeCell ref="A57:D57"/>
    <mergeCell ref="A1:D1"/>
    <mergeCell ref="A2:D2"/>
    <mergeCell ref="A44:D44"/>
    <mergeCell ref="A45:D45"/>
    <mergeCell ref="A55:D55"/>
  </mergeCells>
  <printOptions/>
  <pageMargins left="0.3937007874015748" right="0" top="0" bottom="0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SheetLayoutView="100" zoomScalePageLayoutView="0" workbookViewId="0" topLeftCell="A1">
      <selection activeCell="I12" sqref="I12"/>
    </sheetView>
  </sheetViews>
  <sheetFormatPr defaultColWidth="9.140625" defaultRowHeight="12.75"/>
  <cols>
    <col min="1" max="1" width="11.421875" style="59" customWidth="1"/>
    <col min="2" max="2" width="7.7109375" style="23" customWidth="1"/>
    <col min="3" max="3" width="9.7109375" style="59" customWidth="1"/>
    <col min="4" max="5" width="6.7109375" style="23" customWidth="1"/>
    <col min="6" max="6" width="11.28125" style="23" customWidth="1"/>
    <col min="7" max="8" width="7.7109375" style="23" customWidth="1"/>
    <col min="9" max="9" width="7.57421875" style="23" customWidth="1"/>
    <col min="10" max="10" width="20.140625" style="23" customWidth="1"/>
    <col min="11" max="16384" width="9.140625" style="23" customWidth="1"/>
  </cols>
  <sheetData>
    <row r="1" spans="1:10" ht="23.25">
      <c r="A1" s="52"/>
      <c r="B1" s="28"/>
      <c r="C1" s="52"/>
      <c r="D1" s="28"/>
      <c r="E1" s="28"/>
      <c r="F1" s="28"/>
      <c r="G1" s="60"/>
      <c r="H1" s="28"/>
      <c r="I1" s="28"/>
      <c r="J1" s="29"/>
    </row>
    <row r="2" spans="1:10" ht="23.25">
      <c r="A2" s="349" t="s">
        <v>64</v>
      </c>
      <c r="B2" s="349"/>
      <c r="C2" s="349"/>
      <c r="D2" s="349"/>
      <c r="E2" s="349"/>
      <c r="F2" s="349"/>
      <c r="G2" s="350" t="s">
        <v>65</v>
      </c>
      <c r="H2" s="349"/>
      <c r="I2" s="349"/>
      <c r="J2" s="349"/>
    </row>
    <row r="3" spans="1:10" ht="23.25">
      <c r="A3" s="349" t="s">
        <v>66</v>
      </c>
      <c r="B3" s="349"/>
      <c r="C3" s="349"/>
      <c r="D3" s="349"/>
      <c r="E3" s="349"/>
      <c r="F3" s="349"/>
      <c r="G3" s="350" t="s">
        <v>90</v>
      </c>
      <c r="H3" s="349"/>
      <c r="I3" s="349"/>
      <c r="J3" s="349"/>
    </row>
    <row r="4" spans="1:10" ht="23.25">
      <c r="A4" s="53"/>
      <c r="B4" s="30"/>
      <c r="C4" s="53"/>
      <c r="D4" s="30"/>
      <c r="E4" s="30"/>
      <c r="F4" s="30"/>
      <c r="G4" s="61"/>
      <c r="H4" s="30"/>
      <c r="I4" s="30"/>
      <c r="J4" s="30"/>
    </row>
    <row r="5" spans="1:10" ht="23.25">
      <c r="A5" s="344" t="s">
        <v>583</v>
      </c>
      <c r="B5" s="344"/>
      <c r="C5" s="344"/>
      <c r="D5" s="344"/>
      <c r="E5" s="344"/>
      <c r="F5" s="351"/>
      <c r="G5" s="31"/>
      <c r="H5" s="31"/>
      <c r="I5" s="31"/>
      <c r="J5" s="32">
        <v>7659676.26</v>
      </c>
    </row>
    <row r="6" spans="1:10" ht="23.25">
      <c r="A6" s="54"/>
      <c r="B6" s="33"/>
      <c r="C6" s="54"/>
      <c r="D6" s="33"/>
      <c r="E6" s="33"/>
      <c r="F6" s="34"/>
      <c r="G6" s="31"/>
      <c r="H6" s="31"/>
      <c r="I6" s="31"/>
      <c r="J6" s="32"/>
    </row>
    <row r="7" spans="1:10" ht="23.25">
      <c r="A7" s="353" t="s">
        <v>67</v>
      </c>
      <c r="B7" s="353"/>
      <c r="C7" s="353"/>
      <c r="D7" s="353"/>
      <c r="E7" s="353"/>
      <c r="F7" s="34"/>
      <c r="G7" s="31"/>
      <c r="H7" s="31"/>
      <c r="I7" s="31"/>
      <c r="J7" s="32"/>
    </row>
    <row r="8" spans="1:10" ht="23.25">
      <c r="A8" s="56" t="s">
        <v>68</v>
      </c>
      <c r="B8" s="35"/>
      <c r="C8" s="56" t="s">
        <v>69</v>
      </c>
      <c r="D8" s="35"/>
      <c r="E8" s="35"/>
      <c r="F8" s="36" t="s">
        <v>70</v>
      </c>
      <c r="G8" s="31"/>
      <c r="H8" s="31"/>
      <c r="I8" s="31"/>
      <c r="J8" s="32"/>
    </row>
    <row r="9" spans="1:10" ht="23.25">
      <c r="A9" s="56" t="s">
        <v>503</v>
      </c>
      <c r="B9" s="35"/>
      <c r="C9" s="56" t="s">
        <v>504</v>
      </c>
      <c r="D9" s="35"/>
      <c r="E9" s="35"/>
      <c r="F9" s="36">
        <v>338</v>
      </c>
      <c r="G9" s="31"/>
      <c r="H9" s="31"/>
      <c r="I9" s="31"/>
      <c r="J9" s="32"/>
    </row>
    <row r="10" spans="1:10" ht="23.25">
      <c r="A10" s="56" t="s">
        <v>565</v>
      </c>
      <c r="B10" s="35"/>
      <c r="C10" s="56" t="s">
        <v>566</v>
      </c>
      <c r="D10" s="35"/>
      <c r="E10" s="35"/>
      <c r="F10" s="37">
        <v>7500</v>
      </c>
      <c r="G10" s="31"/>
      <c r="H10" s="31"/>
      <c r="I10" s="31"/>
      <c r="J10" s="38"/>
    </row>
    <row r="11" spans="1:10" ht="23.25">
      <c r="A11" s="56"/>
      <c r="B11" s="35"/>
      <c r="C11" s="56" t="s">
        <v>567</v>
      </c>
      <c r="D11" s="35"/>
      <c r="E11" s="35"/>
      <c r="F11" s="37">
        <v>7500</v>
      </c>
      <c r="G11" s="31"/>
      <c r="H11" s="31"/>
      <c r="I11" s="31"/>
      <c r="J11" s="37"/>
    </row>
    <row r="12" spans="1:10" ht="23.25">
      <c r="A12" s="56"/>
      <c r="B12" s="35"/>
      <c r="C12" s="56" t="s">
        <v>568</v>
      </c>
      <c r="D12" s="35"/>
      <c r="E12" s="35"/>
      <c r="F12" s="37">
        <v>7500</v>
      </c>
      <c r="G12" s="31"/>
      <c r="H12" s="31"/>
      <c r="I12" s="31"/>
      <c r="J12" s="32"/>
    </row>
    <row r="13" spans="1:10" ht="23.25">
      <c r="A13" s="56"/>
      <c r="B13" s="35"/>
      <c r="C13" s="56" t="s">
        <v>569</v>
      </c>
      <c r="D13" s="35"/>
      <c r="E13" s="35"/>
      <c r="F13" s="37">
        <v>7500</v>
      </c>
      <c r="G13" s="31"/>
      <c r="H13" s="31"/>
      <c r="I13" s="31"/>
      <c r="J13" s="32"/>
    </row>
    <row r="14" spans="1:10" ht="23.25">
      <c r="A14" s="56"/>
      <c r="B14" s="35"/>
      <c r="C14" s="56" t="s">
        <v>570</v>
      </c>
      <c r="D14" s="35"/>
      <c r="E14" s="35"/>
      <c r="F14" s="37">
        <v>7500</v>
      </c>
      <c r="G14" s="31"/>
      <c r="H14" s="31"/>
      <c r="I14" s="31"/>
      <c r="J14" s="32"/>
    </row>
    <row r="15" spans="1:10" ht="23.25">
      <c r="A15" s="56"/>
      <c r="B15" s="35"/>
      <c r="C15" s="56" t="s">
        <v>571</v>
      </c>
      <c r="D15" s="35"/>
      <c r="E15" s="35"/>
      <c r="F15" s="37">
        <v>7500</v>
      </c>
      <c r="G15" s="31"/>
      <c r="H15" s="31"/>
      <c r="I15" s="31"/>
      <c r="J15" s="32"/>
    </row>
    <row r="16" spans="1:10" ht="23.25">
      <c r="A16" s="56" t="s">
        <v>572</v>
      </c>
      <c r="B16" s="35"/>
      <c r="C16" s="56" t="s">
        <v>573</v>
      </c>
      <c r="D16" s="35"/>
      <c r="E16" s="35"/>
      <c r="F16" s="37">
        <v>152540</v>
      </c>
      <c r="G16" s="31"/>
      <c r="H16" s="31"/>
      <c r="I16" s="31"/>
      <c r="J16" s="32"/>
    </row>
    <row r="17" spans="1:10" ht="23.25">
      <c r="A17" s="56"/>
      <c r="B17" s="35"/>
      <c r="C17" s="56" t="s">
        <v>574</v>
      </c>
      <c r="D17" s="35"/>
      <c r="E17" s="35"/>
      <c r="F17" s="37">
        <v>73080</v>
      </c>
      <c r="G17" s="31"/>
      <c r="H17" s="31"/>
      <c r="I17" s="31"/>
      <c r="J17" s="32"/>
    </row>
    <row r="18" spans="1:10" ht="23.25">
      <c r="A18" s="56"/>
      <c r="B18" s="35"/>
      <c r="C18" s="56" t="s">
        <v>575</v>
      </c>
      <c r="D18" s="35"/>
      <c r="E18" s="35"/>
      <c r="F18" s="37">
        <v>45820</v>
      </c>
      <c r="G18" s="31"/>
      <c r="H18" s="31"/>
      <c r="I18" s="31"/>
      <c r="J18" s="32"/>
    </row>
    <row r="19" spans="1:10" ht="23.25">
      <c r="A19" s="56" t="s">
        <v>576</v>
      </c>
      <c r="B19" s="35"/>
      <c r="C19" s="56" t="s">
        <v>577</v>
      </c>
      <c r="D19" s="35"/>
      <c r="E19" s="35"/>
      <c r="F19" s="37">
        <v>25757.01</v>
      </c>
      <c r="G19" s="31"/>
      <c r="H19" s="31"/>
      <c r="I19" s="31"/>
      <c r="J19" s="32"/>
    </row>
    <row r="20" spans="1:10" ht="23.25">
      <c r="A20" s="56" t="s">
        <v>578</v>
      </c>
      <c r="B20" s="35"/>
      <c r="C20" s="56" t="s">
        <v>579</v>
      </c>
      <c r="D20" s="35"/>
      <c r="E20" s="35"/>
      <c r="F20" s="37">
        <v>15641.78</v>
      </c>
      <c r="G20" s="31"/>
      <c r="H20" s="31"/>
      <c r="I20" s="31"/>
      <c r="J20" s="32">
        <v>358176.79</v>
      </c>
    </row>
    <row r="21" spans="1:10" ht="23.25">
      <c r="A21" s="56"/>
      <c r="B21" s="35"/>
      <c r="C21" s="56"/>
      <c r="D21" s="35"/>
      <c r="E21" s="35"/>
      <c r="F21" s="37"/>
      <c r="G21" s="31"/>
      <c r="H21" s="31"/>
      <c r="I21" s="31"/>
      <c r="J21" s="32"/>
    </row>
    <row r="22" spans="1:10" ht="23.25">
      <c r="A22" s="354" t="s">
        <v>554</v>
      </c>
      <c r="B22" s="354"/>
      <c r="C22" s="354"/>
      <c r="D22" s="35"/>
      <c r="E22" s="35"/>
      <c r="F22" s="37"/>
      <c r="G22" s="31"/>
      <c r="H22" s="31"/>
      <c r="I22" s="31"/>
      <c r="J22" s="32"/>
    </row>
    <row r="23" spans="1:10" ht="23.25">
      <c r="A23" s="56" t="s">
        <v>555</v>
      </c>
      <c r="B23" s="298"/>
      <c r="C23" s="298"/>
      <c r="D23" s="35"/>
      <c r="E23" s="35"/>
      <c r="F23" s="37">
        <v>3891.14</v>
      </c>
      <c r="G23" s="31"/>
      <c r="H23" s="31"/>
      <c r="I23" s="31"/>
      <c r="J23" s="32"/>
    </row>
    <row r="24" spans="1:10" ht="23.25">
      <c r="A24" s="56" t="s">
        <v>564</v>
      </c>
      <c r="B24" s="35"/>
      <c r="C24" s="56"/>
      <c r="D24" s="35"/>
      <c r="E24" s="35"/>
      <c r="F24" s="37">
        <v>1617.56</v>
      </c>
      <c r="G24" s="31"/>
      <c r="H24" s="31"/>
      <c r="I24" s="31"/>
      <c r="J24" s="32">
        <v>5508.7</v>
      </c>
    </row>
    <row r="25" spans="1:10" ht="23.25">
      <c r="A25" s="55"/>
      <c r="B25" s="35"/>
      <c r="C25" s="56"/>
      <c r="D25" s="35"/>
      <c r="E25" s="35"/>
      <c r="F25" s="37"/>
      <c r="G25" s="31"/>
      <c r="H25" s="31"/>
      <c r="I25" s="31"/>
      <c r="J25" s="32"/>
    </row>
    <row r="26" spans="1:10" ht="23.25">
      <c r="A26" s="341" t="s">
        <v>580</v>
      </c>
      <c r="B26" s="341"/>
      <c r="C26" s="341"/>
      <c r="D26" s="341"/>
      <c r="E26" s="341"/>
      <c r="F26" s="342"/>
      <c r="G26" s="31"/>
      <c r="H26" s="31"/>
      <c r="I26" s="31"/>
      <c r="J26" s="32">
        <v>7295990.77</v>
      </c>
    </row>
    <row r="27" spans="1:10" ht="23.25">
      <c r="A27" s="55"/>
      <c r="B27" s="35"/>
      <c r="C27" s="55"/>
      <c r="D27" s="35"/>
      <c r="E27" s="35"/>
      <c r="F27" s="39"/>
      <c r="G27" s="31"/>
      <c r="H27" s="31"/>
      <c r="I27" s="31"/>
      <c r="J27" s="32"/>
    </row>
    <row r="28" spans="1:10" ht="23.25">
      <c r="A28" s="57" t="s">
        <v>71</v>
      </c>
      <c r="B28" s="40"/>
      <c r="C28" s="57"/>
      <c r="D28" s="40"/>
      <c r="E28" s="40"/>
      <c r="F28" s="41"/>
      <c r="G28" s="343" t="s">
        <v>72</v>
      </c>
      <c r="H28" s="344"/>
      <c r="I28" s="344"/>
      <c r="J28" s="344"/>
    </row>
    <row r="29" spans="1:10" ht="23.25">
      <c r="A29" s="54"/>
      <c r="B29" s="33"/>
      <c r="C29" s="54"/>
      <c r="D29" s="33"/>
      <c r="E29" s="33"/>
      <c r="F29" s="37"/>
      <c r="G29" s="33"/>
      <c r="H29" s="33"/>
      <c r="I29" s="33"/>
      <c r="J29" s="33"/>
    </row>
    <row r="30" spans="1:10" ht="23.25">
      <c r="A30" s="345" t="s">
        <v>581</v>
      </c>
      <c r="B30" s="345"/>
      <c r="C30" s="345"/>
      <c r="D30" s="345"/>
      <c r="E30" s="345"/>
      <c r="F30" s="346"/>
      <c r="G30" s="347" t="s">
        <v>582</v>
      </c>
      <c r="H30" s="348"/>
      <c r="I30" s="348"/>
      <c r="J30" s="348"/>
    </row>
    <row r="31" spans="1:10" ht="23.25">
      <c r="A31" s="349" t="s">
        <v>493</v>
      </c>
      <c r="B31" s="349"/>
      <c r="C31" s="349"/>
      <c r="D31" s="349"/>
      <c r="E31" s="33"/>
      <c r="F31" s="37"/>
      <c r="G31" s="347" t="s">
        <v>89</v>
      </c>
      <c r="H31" s="348"/>
      <c r="I31" s="348"/>
      <c r="J31" s="348"/>
    </row>
    <row r="32" spans="1:10" ht="23.25">
      <c r="A32" s="58"/>
      <c r="B32" s="42"/>
      <c r="C32" s="58"/>
      <c r="D32" s="42"/>
      <c r="E32" s="42"/>
      <c r="F32" s="39"/>
      <c r="G32" s="43"/>
      <c r="H32" s="43"/>
      <c r="I32" s="43"/>
      <c r="J32" s="44"/>
    </row>
    <row r="35" ht="21.75" customHeight="1"/>
    <row r="36" ht="21.75" customHeight="1"/>
  </sheetData>
  <sheetProtection/>
  <mergeCells count="13">
    <mergeCell ref="G2:J2"/>
    <mergeCell ref="A3:F3"/>
    <mergeCell ref="G3:J3"/>
    <mergeCell ref="A5:F5"/>
    <mergeCell ref="A2:F2"/>
    <mergeCell ref="A26:F26"/>
    <mergeCell ref="A31:D31"/>
    <mergeCell ref="G31:J31"/>
    <mergeCell ref="A7:E7"/>
    <mergeCell ref="A30:F30"/>
    <mergeCell ref="G30:J30"/>
    <mergeCell ref="G28:J28"/>
    <mergeCell ref="A22:C22"/>
  </mergeCells>
  <printOptions/>
  <pageMargins left="0.43" right="0.28" top="0.35433070866141736" bottom="1.3385826771653544" header="0.1968503937007874" footer="1.338582677165354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16"/>
  <sheetViews>
    <sheetView view="pageBreakPreview" zoomScaleSheetLayoutView="100" zoomScalePageLayoutView="0" workbookViewId="0" topLeftCell="A1">
      <selection activeCell="F103" sqref="F103"/>
    </sheetView>
  </sheetViews>
  <sheetFormatPr defaultColWidth="9.140625" defaultRowHeight="12.75"/>
  <cols>
    <col min="1" max="1" width="12.421875" style="69" customWidth="1"/>
    <col min="2" max="2" width="7.7109375" style="82" customWidth="1"/>
    <col min="3" max="3" width="7.57421875" style="82" customWidth="1"/>
    <col min="4" max="4" width="7.7109375" style="82" customWidth="1"/>
    <col min="5" max="6" width="7.421875" style="82" customWidth="1"/>
    <col min="7" max="7" width="7.57421875" style="82" customWidth="1"/>
    <col min="8" max="9" width="7.421875" style="82" customWidth="1"/>
    <col min="10" max="10" width="7.28125" style="82" customWidth="1"/>
    <col min="11" max="11" width="7.140625" style="82" customWidth="1"/>
    <col min="12" max="12" width="7.421875" style="82" customWidth="1"/>
    <col min="13" max="13" width="7.140625" style="82" customWidth="1"/>
    <col min="14" max="15" width="7.421875" style="82" customWidth="1"/>
    <col min="16" max="16" width="7.57421875" style="82" customWidth="1"/>
    <col min="17" max="17" width="7.57421875" style="63" customWidth="1"/>
    <col min="18" max="18" width="9.7109375" style="63" customWidth="1"/>
    <col min="19" max="16384" width="9.140625" style="64" customWidth="1"/>
  </cols>
  <sheetData>
    <row r="1" spans="1:18" ht="16.5">
      <c r="A1" s="361" t="s">
        <v>94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</row>
    <row r="2" spans="1:18" ht="16.5">
      <c r="A2" s="361" t="s">
        <v>481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</row>
    <row r="3" spans="1:18" ht="16.5">
      <c r="A3" s="362" t="s">
        <v>586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</row>
    <row r="4" s="125" customFormat="1" ht="14.25">
      <c r="Q4" s="200"/>
    </row>
    <row r="5" spans="1:18" s="65" customFormat="1" ht="14.25">
      <c r="A5" s="66" t="s">
        <v>118</v>
      </c>
      <c r="B5" s="357" t="s">
        <v>95</v>
      </c>
      <c r="C5" s="358" t="s">
        <v>96</v>
      </c>
      <c r="D5" s="358"/>
      <c r="E5" s="358"/>
      <c r="F5" s="88" t="s">
        <v>97</v>
      </c>
      <c r="G5" s="358" t="s">
        <v>98</v>
      </c>
      <c r="H5" s="358"/>
      <c r="I5" s="358" t="s">
        <v>99</v>
      </c>
      <c r="J5" s="358"/>
      <c r="K5" s="88" t="s">
        <v>100</v>
      </c>
      <c r="L5" s="358" t="s">
        <v>101</v>
      </c>
      <c r="M5" s="358"/>
      <c r="N5" s="88" t="s">
        <v>432</v>
      </c>
      <c r="O5" s="359" t="s">
        <v>102</v>
      </c>
      <c r="P5" s="360"/>
      <c r="Q5" s="224" t="s">
        <v>116</v>
      </c>
      <c r="R5" s="355" t="s">
        <v>19</v>
      </c>
    </row>
    <row r="6" spans="1:18" s="65" customFormat="1" ht="14.25">
      <c r="A6" s="67" t="s">
        <v>119</v>
      </c>
      <c r="B6" s="357"/>
      <c r="C6" s="88" t="s">
        <v>103</v>
      </c>
      <c r="D6" s="88" t="s">
        <v>114</v>
      </c>
      <c r="E6" s="88" t="s">
        <v>104</v>
      </c>
      <c r="F6" s="88" t="s">
        <v>105</v>
      </c>
      <c r="G6" s="88" t="s">
        <v>106</v>
      </c>
      <c r="H6" s="88" t="s">
        <v>107</v>
      </c>
      <c r="I6" s="88" t="s">
        <v>108</v>
      </c>
      <c r="J6" s="88" t="s">
        <v>109</v>
      </c>
      <c r="K6" s="88" t="s">
        <v>115</v>
      </c>
      <c r="L6" s="88" t="s">
        <v>110</v>
      </c>
      <c r="M6" s="88" t="s">
        <v>111</v>
      </c>
      <c r="N6" s="88" t="s">
        <v>431</v>
      </c>
      <c r="O6" s="88" t="s">
        <v>112</v>
      </c>
      <c r="P6" s="88" t="s">
        <v>113</v>
      </c>
      <c r="Q6" s="201" t="s">
        <v>117</v>
      </c>
      <c r="R6" s="356"/>
    </row>
    <row r="7" spans="1:18" ht="14.25">
      <c r="A7" s="89" t="s">
        <v>266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</row>
    <row r="8" spans="1:18" ht="14.25">
      <c r="A8" s="90" t="s">
        <v>267</v>
      </c>
      <c r="B8" s="68">
        <f>74870-5089-4759-5122-5209-4759-4143-6374-5304-5304-5304</f>
        <v>23503</v>
      </c>
      <c r="C8" s="68" t="s">
        <v>264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>
        <f>SUM(B8:P8)</f>
        <v>23503</v>
      </c>
    </row>
    <row r="9" spans="1:18" ht="14.25">
      <c r="A9" s="91" t="s">
        <v>268</v>
      </c>
      <c r="B9" s="71">
        <f>24000-2000-2500-2500-2500-2500-2500-2500-2500+10000-2500-2500</f>
        <v>9500</v>
      </c>
      <c r="C9" s="71"/>
      <c r="D9" s="71"/>
      <c r="E9" s="71"/>
      <c r="F9" s="71" t="s">
        <v>264</v>
      </c>
      <c r="G9" s="226"/>
      <c r="H9" s="71"/>
      <c r="I9" s="71"/>
      <c r="J9" s="71"/>
      <c r="K9" s="71"/>
      <c r="L9" s="71"/>
      <c r="M9" s="71"/>
      <c r="N9" s="71"/>
      <c r="O9" s="71"/>
      <c r="P9" s="71"/>
      <c r="Q9" s="71"/>
      <c r="R9" s="71">
        <f>SUM(B9:Q9)</f>
        <v>9500</v>
      </c>
    </row>
    <row r="10" spans="1:18" ht="14.25">
      <c r="A10" s="91" t="s">
        <v>269</v>
      </c>
      <c r="B10" s="71">
        <f>187243-15000-13840-22660-9882+200000-82000+90000-26000</f>
        <v>307861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>
        <f>SUM(B10:P10)</f>
        <v>307861</v>
      </c>
    </row>
    <row r="11" spans="1:18" ht="14.25">
      <c r="A11" s="91" t="s">
        <v>270</v>
      </c>
      <c r="B11" s="71">
        <f>140000-120000</f>
        <v>20000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>
        <f>SUM(B11:P11)</f>
        <v>20000</v>
      </c>
    </row>
    <row r="12" spans="1:18" ht="14.25">
      <c r="A12" s="91" t="s">
        <v>271</v>
      </c>
      <c r="B12" s="87">
        <f>141240-141235</f>
        <v>5</v>
      </c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>
        <f>SUM(B12)</f>
        <v>5</v>
      </c>
    </row>
    <row r="13" spans="1:18" ht="15" thickBot="1">
      <c r="A13" s="91" t="s">
        <v>36</v>
      </c>
      <c r="B13" s="73">
        <f>SUM(B8:B12)</f>
        <v>360869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/>
      <c r="R13" s="73">
        <f>SUM(B13:P13)</f>
        <v>360869</v>
      </c>
    </row>
    <row r="14" spans="1:18" ht="15" thickTop="1">
      <c r="A14" s="93" t="s">
        <v>272</v>
      </c>
      <c r="B14" s="75"/>
      <c r="C14" s="8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6"/>
      <c r="Q14" s="75"/>
      <c r="R14" s="76"/>
    </row>
    <row r="15" spans="1:18" ht="14.25">
      <c r="A15" s="91" t="s">
        <v>273</v>
      </c>
      <c r="B15" s="77"/>
      <c r="C15" s="71">
        <f>530000-42840-42840-42840-42840-42840-42840-42840-42840-42840-42840</f>
        <v>101600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1"/>
      <c r="Q15" s="77"/>
      <c r="R15" s="71">
        <f aca="true" t="shared" si="0" ref="R15:R21">SUM(C15:P15)</f>
        <v>101600</v>
      </c>
    </row>
    <row r="16" spans="1:18" ht="14.25">
      <c r="A16" s="90" t="s">
        <v>274</v>
      </c>
      <c r="B16" s="78"/>
      <c r="C16" s="78">
        <f>43000-3510-3510-3510-3510-3510-3510-3510-3510-3510-3510</f>
        <v>7900</v>
      </c>
      <c r="D16" s="78"/>
      <c r="E16" s="78"/>
      <c r="F16" s="78"/>
      <c r="G16" s="78">
        <v>0</v>
      </c>
      <c r="H16" s="78"/>
      <c r="I16" s="78"/>
      <c r="J16" s="78"/>
      <c r="K16" s="78"/>
      <c r="L16" s="78">
        <v>0</v>
      </c>
      <c r="M16" s="78"/>
      <c r="N16" s="78"/>
      <c r="O16" s="78"/>
      <c r="P16" s="68"/>
      <c r="Q16" s="78"/>
      <c r="R16" s="68">
        <f t="shared" si="0"/>
        <v>7900</v>
      </c>
    </row>
    <row r="17" spans="1:18" ht="14.25">
      <c r="A17" s="91" t="s">
        <v>275</v>
      </c>
      <c r="B17" s="77"/>
      <c r="C17" s="77">
        <f>43000-3510-3510-3510-3510-3510-3510-3510-3510-3510-3510</f>
        <v>7900</v>
      </c>
      <c r="D17" s="77"/>
      <c r="E17" s="77"/>
      <c r="F17" s="77"/>
      <c r="G17" s="77">
        <v>0</v>
      </c>
      <c r="H17" s="77"/>
      <c r="I17" s="77"/>
      <c r="J17" s="77"/>
      <c r="K17" s="77"/>
      <c r="L17" s="77">
        <v>0</v>
      </c>
      <c r="M17" s="77"/>
      <c r="N17" s="77"/>
      <c r="O17" s="77"/>
      <c r="P17" s="71"/>
      <c r="Q17" s="77"/>
      <c r="R17" s="71">
        <f t="shared" si="0"/>
        <v>7900</v>
      </c>
    </row>
    <row r="18" spans="1:18" ht="14.25">
      <c r="A18" s="91" t="s">
        <v>276</v>
      </c>
      <c r="B18" s="77"/>
      <c r="C18" s="71">
        <f>86400-7200-7200-7200-7200-7200-7200-7200-7200-7200-7200</f>
        <v>14400</v>
      </c>
      <c r="D18" s="77"/>
      <c r="E18" s="77"/>
      <c r="F18" s="77"/>
      <c r="G18" s="77"/>
      <c r="H18" s="77"/>
      <c r="I18" s="77"/>
      <c r="J18" s="77"/>
      <c r="K18" s="77"/>
      <c r="L18" s="77">
        <v>0</v>
      </c>
      <c r="M18" s="77"/>
      <c r="N18" s="77"/>
      <c r="O18" s="77"/>
      <c r="P18" s="71"/>
      <c r="Q18" s="77"/>
      <c r="R18" s="71">
        <f t="shared" si="0"/>
        <v>14400</v>
      </c>
    </row>
    <row r="19" spans="1:18" ht="14.25">
      <c r="A19" s="90" t="s">
        <v>277</v>
      </c>
      <c r="B19" s="78"/>
      <c r="C19" s="78">
        <f>2145600-178800-178800-178800-178800-178800-178800-175440-171600-171600-171600</f>
        <v>382560</v>
      </c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68"/>
      <c r="Q19" s="78"/>
      <c r="R19" s="68">
        <f t="shared" si="0"/>
        <v>382560</v>
      </c>
    </row>
    <row r="20" spans="1:18" ht="14.25">
      <c r="A20" s="91" t="s">
        <v>278</v>
      </c>
      <c r="B20" s="77"/>
      <c r="C20" s="71">
        <f>86400-7200-7200-7200-7200-7200-7200-7200-7200-7200-7200</f>
        <v>14400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1"/>
      <c r="Q20" s="77"/>
      <c r="R20" s="71">
        <f t="shared" si="0"/>
        <v>14400</v>
      </c>
    </row>
    <row r="21" spans="1:18" ht="15" thickBot="1">
      <c r="A21" s="91" t="s">
        <v>36</v>
      </c>
      <c r="B21" s="94"/>
      <c r="C21" s="81">
        <f>SUM(C15:C20)</f>
        <v>528760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0</v>
      </c>
      <c r="K21" s="94">
        <v>0</v>
      </c>
      <c r="L21" s="94">
        <v>0</v>
      </c>
      <c r="M21" s="94">
        <v>0</v>
      </c>
      <c r="N21" s="94">
        <v>0</v>
      </c>
      <c r="O21" s="94">
        <v>0</v>
      </c>
      <c r="P21" s="94">
        <v>0</v>
      </c>
      <c r="Q21" s="94"/>
      <c r="R21" s="74">
        <f t="shared" si="0"/>
        <v>528760</v>
      </c>
    </row>
    <row r="22" spans="1:18" ht="15" thickTop="1">
      <c r="A22" s="90" t="s">
        <v>279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84"/>
      <c r="Q22" s="78"/>
      <c r="R22" s="68"/>
    </row>
    <row r="23" spans="1:18" ht="14.25">
      <c r="A23" s="91" t="s">
        <v>280</v>
      </c>
      <c r="B23" s="77"/>
      <c r="C23" s="77">
        <f>1940000-156780-156780-156780-156780-159614-157840-161330-161330-161330-161330</f>
        <v>350106</v>
      </c>
      <c r="D23" s="77"/>
      <c r="E23" s="77">
        <f>1360000-100270-100270-100270-100270-100270-100270-102610-102610-88189-83800</f>
        <v>381171</v>
      </c>
      <c r="F23" s="77"/>
      <c r="G23" s="77">
        <f>250000-20360-20360-20360-20360-20360-20360-20780-20780-20780-20780</f>
        <v>44720</v>
      </c>
      <c r="H23" s="77"/>
      <c r="I23" s="77"/>
      <c r="J23" s="77"/>
      <c r="K23" s="77"/>
      <c r="L23" s="77">
        <f>563000-40470-40470-40470-40470-40470-40470-41320-40466-27300-27300</f>
        <v>183794</v>
      </c>
      <c r="M23" s="77"/>
      <c r="N23" s="77"/>
      <c r="O23" s="77"/>
      <c r="P23" s="71"/>
      <c r="Q23" s="77"/>
      <c r="R23" s="71">
        <f>SUM(C23:P23)</f>
        <v>959791</v>
      </c>
    </row>
    <row r="24" spans="1:18" ht="14.25">
      <c r="A24" s="91" t="s">
        <v>281</v>
      </c>
      <c r="B24" s="77"/>
      <c r="C24" s="77">
        <f>5000</f>
        <v>5000</v>
      </c>
      <c r="D24" s="77"/>
      <c r="E24" s="77">
        <v>15500</v>
      </c>
      <c r="F24" s="77"/>
      <c r="G24" s="77"/>
      <c r="H24" s="77"/>
      <c r="I24" s="77"/>
      <c r="J24" s="77"/>
      <c r="K24" s="77"/>
      <c r="L24" s="77">
        <f>9000-1500-1500-1500</f>
        <v>4500</v>
      </c>
      <c r="M24" s="77"/>
      <c r="N24" s="77"/>
      <c r="O24" s="77"/>
      <c r="P24" s="71"/>
      <c r="Q24" s="77"/>
      <c r="R24" s="71">
        <f>SUM(C24:P24)</f>
        <v>25000</v>
      </c>
    </row>
    <row r="25" spans="1:18" ht="14.25">
      <c r="A25" s="90" t="s">
        <v>282</v>
      </c>
      <c r="B25" s="78"/>
      <c r="C25" s="78">
        <f>176400-14700-14700-14700-14700-14700-14700-14700-14700-14700-14700</f>
        <v>29400</v>
      </c>
      <c r="D25" s="78"/>
      <c r="E25" s="78">
        <f>42000-3500-3500-3500-3500-3500-3500-3500-3500-3500-3500</f>
        <v>7000</v>
      </c>
      <c r="F25" s="78"/>
      <c r="G25" s="78">
        <f>20000-4290-3500</f>
        <v>12210</v>
      </c>
      <c r="H25" s="78"/>
      <c r="I25" s="78"/>
      <c r="J25" s="78"/>
      <c r="K25" s="78"/>
      <c r="L25" s="78">
        <f>42000-3500-3500-3500-3500-3500-3500-3500-1919</f>
        <v>15581</v>
      </c>
      <c r="M25" s="78"/>
      <c r="N25" s="78"/>
      <c r="O25" s="78"/>
      <c r="P25" s="68"/>
      <c r="Q25" s="78"/>
      <c r="R25" s="68">
        <f>SUM(C25:P25)</f>
        <v>64191</v>
      </c>
    </row>
    <row r="26" spans="1:18" ht="15" thickBot="1">
      <c r="A26" s="91" t="s">
        <v>36</v>
      </c>
      <c r="B26" s="94"/>
      <c r="C26" s="81">
        <f>SUM(C23:C25)</f>
        <v>384506</v>
      </c>
      <c r="D26" s="94">
        <v>0</v>
      </c>
      <c r="E26" s="94">
        <f>SUM(E23:E25)</f>
        <v>403671</v>
      </c>
      <c r="F26" s="94">
        <v>0</v>
      </c>
      <c r="G26" s="94">
        <f>SUM(G23:G25)</f>
        <v>56930</v>
      </c>
      <c r="H26" s="94">
        <v>0</v>
      </c>
      <c r="I26" s="94">
        <v>0</v>
      </c>
      <c r="J26" s="94">
        <v>0</v>
      </c>
      <c r="K26" s="94">
        <v>0</v>
      </c>
      <c r="L26" s="94">
        <f>SUM(L23:L25)</f>
        <v>203875</v>
      </c>
      <c r="M26" s="94">
        <v>0</v>
      </c>
      <c r="N26" s="94">
        <v>0</v>
      </c>
      <c r="O26" s="94">
        <v>0</v>
      </c>
      <c r="P26" s="94">
        <v>0</v>
      </c>
      <c r="Q26" s="94"/>
      <c r="R26" s="62">
        <f>SUM(C26:P26)</f>
        <v>1048982</v>
      </c>
    </row>
    <row r="27" spans="1:18" ht="15" thickTop="1">
      <c r="A27" s="90" t="s">
        <v>279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68"/>
      <c r="Q27" s="78"/>
      <c r="R27" s="85"/>
    </row>
    <row r="28" spans="1:18" ht="14.25">
      <c r="A28" s="91" t="s">
        <v>283</v>
      </c>
      <c r="B28" s="77"/>
      <c r="C28" s="77">
        <f>150000-10760-16540-12090-12090-12090-12090-12330-12330-12330-12330</f>
        <v>25020</v>
      </c>
      <c r="D28" s="77"/>
      <c r="E28" s="77">
        <v>0</v>
      </c>
      <c r="F28" s="77"/>
      <c r="G28" s="77">
        <v>0</v>
      </c>
      <c r="H28" s="77"/>
      <c r="I28" s="77">
        <v>0</v>
      </c>
      <c r="J28" s="77"/>
      <c r="K28" s="77"/>
      <c r="L28" s="77">
        <v>0</v>
      </c>
      <c r="M28" s="77"/>
      <c r="N28" s="77"/>
      <c r="O28" s="77"/>
      <c r="P28" s="71"/>
      <c r="Q28" s="77"/>
      <c r="R28" s="71">
        <f>SUM(C28:P28)</f>
        <v>25020</v>
      </c>
    </row>
    <row r="29" spans="1:18" ht="14.25">
      <c r="A29" s="90" t="s">
        <v>284</v>
      </c>
      <c r="B29" s="79"/>
      <c r="C29" s="78">
        <f>18000-1500-195-195-195-195-195</f>
        <v>15525</v>
      </c>
      <c r="D29" s="78"/>
      <c r="E29" s="78">
        <v>0</v>
      </c>
      <c r="F29" s="78"/>
      <c r="G29" s="78">
        <v>0</v>
      </c>
      <c r="H29" s="78"/>
      <c r="I29" s="78">
        <v>0</v>
      </c>
      <c r="J29" s="78"/>
      <c r="K29" s="78"/>
      <c r="L29" s="78">
        <v>0</v>
      </c>
      <c r="M29" s="78"/>
      <c r="N29" s="78"/>
      <c r="O29" s="78"/>
      <c r="P29" s="68"/>
      <c r="Q29" s="78"/>
      <c r="R29" s="68">
        <f>SUM(C29:P29)</f>
        <v>15525</v>
      </c>
    </row>
    <row r="30" spans="1:18" ht="15" thickBot="1">
      <c r="A30" s="91" t="s">
        <v>36</v>
      </c>
      <c r="B30" s="94"/>
      <c r="C30" s="81">
        <f>SUM(C28:C29)</f>
        <v>40545</v>
      </c>
      <c r="D30" s="94">
        <v>0</v>
      </c>
      <c r="E30" s="94">
        <v>0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94">
        <v>0</v>
      </c>
      <c r="L30" s="94">
        <v>0</v>
      </c>
      <c r="M30" s="94">
        <v>0</v>
      </c>
      <c r="N30" s="94">
        <v>0</v>
      </c>
      <c r="O30" s="94">
        <v>0</v>
      </c>
      <c r="P30" s="94">
        <v>0</v>
      </c>
      <c r="Q30" s="94"/>
      <c r="R30" s="74">
        <f>SUM(C30:P30)</f>
        <v>40545</v>
      </c>
    </row>
    <row r="31" ht="15" thickTop="1">
      <c r="C31" s="205"/>
    </row>
    <row r="42" spans="1:18" s="65" customFormat="1" ht="14.25">
      <c r="A42" s="66" t="s">
        <v>118</v>
      </c>
      <c r="B42" s="357" t="s">
        <v>95</v>
      </c>
      <c r="C42" s="358" t="s">
        <v>96</v>
      </c>
      <c r="D42" s="358"/>
      <c r="E42" s="358"/>
      <c r="F42" s="88" t="s">
        <v>97</v>
      </c>
      <c r="G42" s="358" t="s">
        <v>98</v>
      </c>
      <c r="H42" s="358"/>
      <c r="I42" s="358" t="s">
        <v>99</v>
      </c>
      <c r="J42" s="358"/>
      <c r="K42" s="88" t="s">
        <v>100</v>
      </c>
      <c r="L42" s="358" t="s">
        <v>101</v>
      </c>
      <c r="M42" s="358"/>
      <c r="N42" s="88" t="s">
        <v>432</v>
      </c>
      <c r="O42" s="358" t="s">
        <v>102</v>
      </c>
      <c r="P42" s="358"/>
      <c r="Q42" s="224"/>
      <c r="R42" s="355" t="s">
        <v>19</v>
      </c>
    </row>
    <row r="43" spans="1:18" s="65" customFormat="1" ht="14.25">
      <c r="A43" s="67" t="s">
        <v>119</v>
      </c>
      <c r="B43" s="357"/>
      <c r="C43" s="88" t="s">
        <v>103</v>
      </c>
      <c r="D43" s="88" t="s">
        <v>114</v>
      </c>
      <c r="E43" s="88" t="s">
        <v>104</v>
      </c>
      <c r="F43" s="88" t="s">
        <v>105</v>
      </c>
      <c r="G43" s="88" t="s">
        <v>106</v>
      </c>
      <c r="H43" s="88" t="s">
        <v>107</v>
      </c>
      <c r="I43" s="88" t="s">
        <v>108</v>
      </c>
      <c r="J43" s="88" t="s">
        <v>109</v>
      </c>
      <c r="K43" s="88" t="s">
        <v>115</v>
      </c>
      <c r="L43" s="88" t="s">
        <v>110</v>
      </c>
      <c r="M43" s="88" t="s">
        <v>111</v>
      </c>
      <c r="N43" s="88" t="s">
        <v>431</v>
      </c>
      <c r="O43" s="88" t="s">
        <v>112</v>
      </c>
      <c r="P43" s="88" t="s">
        <v>113</v>
      </c>
      <c r="Q43" s="201" t="s">
        <v>117</v>
      </c>
      <c r="R43" s="356"/>
    </row>
    <row r="44" spans="1:18" ht="14.25">
      <c r="A44" s="93" t="s">
        <v>279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</row>
    <row r="45" spans="1:18" ht="14.25">
      <c r="A45" s="191" t="s">
        <v>285</v>
      </c>
      <c r="B45" s="71"/>
      <c r="C45" s="71">
        <f>250000-19500-19500-19500-19500-19500-26469+55000-28900-28900-28900-28900</f>
        <v>65431</v>
      </c>
      <c r="D45" s="71"/>
      <c r="E45" s="71">
        <f>250000-20330-20330-20330-20330-20330-20330-20330-20330-20330-20330</f>
        <v>46700</v>
      </c>
      <c r="F45" s="71"/>
      <c r="G45" s="71">
        <f>630000-32200-25600-32850-34600-150000-18000+500-41311-25600-25600-25600</f>
        <v>219139</v>
      </c>
      <c r="H45" s="71">
        <f>70000-7600-5700-5700</f>
        <v>51000</v>
      </c>
      <c r="I45" s="71">
        <f>108000-9000-9000-9000-9000-9000-9000-9000-9000-9000-9000</f>
        <v>18000</v>
      </c>
      <c r="J45" s="71"/>
      <c r="K45" s="71"/>
      <c r="L45" s="71">
        <f>226000-18400-18400-18400-18400-18400-18400-18400-18400-18400-18400</f>
        <v>42000</v>
      </c>
      <c r="M45" s="71"/>
      <c r="N45" s="71"/>
      <c r="O45" s="71"/>
      <c r="P45" s="71"/>
      <c r="Q45" s="71"/>
      <c r="R45" s="71">
        <f>SUM(C45:Q45)</f>
        <v>442270</v>
      </c>
    </row>
    <row r="46" spans="1:18" ht="14.25">
      <c r="A46" s="90" t="s">
        <v>286</v>
      </c>
      <c r="B46" s="68"/>
      <c r="C46" s="68">
        <f>18000-1500-1500-1500-1500-1500-2604+15000-3000-3000-3000-3000</f>
        <v>10896</v>
      </c>
      <c r="D46" s="68"/>
      <c r="E46" s="68">
        <f>29000-955-955-955-955-955-955-955-955-955-955</f>
        <v>19450</v>
      </c>
      <c r="F46" s="68"/>
      <c r="G46" s="68">
        <v>0</v>
      </c>
      <c r="H46" s="68"/>
      <c r="I46" s="68">
        <v>0</v>
      </c>
      <c r="J46" s="68"/>
      <c r="K46" s="68"/>
      <c r="L46" s="68">
        <f>18000-1500-1500-1500-1500-1500-1500-1500-1500-1500-1500</f>
        <v>3000</v>
      </c>
      <c r="M46" s="68"/>
      <c r="N46" s="68"/>
      <c r="O46" s="68"/>
      <c r="P46" s="68"/>
      <c r="Q46" s="68"/>
      <c r="R46" s="68">
        <f>SUM(C46:Q46)</f>
        <v>33346</v>
      </c>
    </row>
    <row r="47" spans="1:18" ht="15" thickBot="1">
      <c r="A47" s="91" t="s">
        <v>36</v>
      </c>
      <c r="B47" s="62"/>
      <c r="C47" s="73">
        <f>SUM(C45:C46)</f>
        <v>76327</v>
      </c>
      <c r="D47" s="62">
        <v>0</v>
      </c>
      <c r="E47" s="62">
        <f>SUM(E44:E46)</f>
        <v>66150</v>
      </c>
      <c r="F47" s="62">
        <v>0</v>
      </c>
      <c r="G47" s="62">
        <f>SUM(G45:G46)</f>
        <v>219139</v>
      </c>
      <c r="H47" s="62">
        <f>SUM(H45)</f>
        <v>51000</v>
      </c>
      <c r="I47" s="62">
        <f>SUM(I45:I46)</f>
        <v>18000</v>
      </c>
      <c r="J47" s="62">
        <v>0</v>
      </c>
      <c r="K47" s="62">
        <v>0</v>
      </c>
      <c r="L47" s="62">
        <f>SUM(L45:L46)</f>
        <v>45000</v>
      </c>
      <c r="M47" s="62">
        <v>0</v>
      </c>
      <c r="N47" s="62">
        <v>0</v>
      </c>
      <c r="O47" s="62">
        <v>0</v>
      </c>
      <c r="P47" s="62">
        <v>0</v>
      </c>
      <c r="Q47" s="62"/>
      <c r="R47" s="210">
        <f>SUM(C47:P47)</f>
        <v>475616</v>
      </c>
    </row>
    <row r="48" spans="1:18" ht="15" thickTop="1">
      <c r="A48" s="93" t="s">
        <v>287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6"/>
      <c r="Q48" s="75"/>
      <c r="R48" s="76"/>
    </row>
    <row r="49" spans="1:18" ht="14.25">
      <c r="A49" s="91" t="s">
        <v>288</v>
      </c>
      <c r="B49" s="77"/>
      <c r="C49" s="77">
        <f>585000-70000-30000-200000</f>
        <v>285000</v>
      </c>
      <c r="D49" s="77"/>
      <c r="E49" s="77">
        <f>402000-45000-20000-20000-20000-10000</f>
        <v>287000</v>
      </c>
      <c r="F49" s="77"/>
      <c r="G49" s="77">
        <f>220000-20000-10000</f>
        <v>190000</v>
      </c>
      <c r="H49" s="77"/>
      <c r="I49" s="77">
        <f>27000-17000-3000</f>
        <v>7000</v>
      </c>
      <c r="J49" s="77"/>
      <c r="K49" s="77"/>
      <c r="L49" s="77">
        <f>252000-2800-6300-13300-6650-8750-90000-15050</f>
        <v>109150</v>
      </c>
      <c r="M49" s="77">
        <v>0</v>
      </c>
      <c r="N49" s="77"/>
      <c r="O49" s="77"/>
      <c r="P49" s="71"/>
      <c r="Q49" s="77"/>
      <c r="R49" s="71">
        <f>SUM(C49:P49)</f>
        <v>878150</v>
      </c>
    </row>
    <row r="50" spans="1:18" ht="14.25">
      <c r="A50" s="90" t="s">
        <v>289</v>
      </c>
      <c r="B50" s="78"/>
      <c r="C50" s="78">
        <f>10000-10000</f>
        <v>0</v>
      </c>
      <c r="D50" s="78"/>
      <c r="E50" s="78">
        <f>20000-8820+15000-13860</f>
        <v>12320</v>
      </c>
      <c r="F50" s="78"/>
      <c r="G50" s="78">
        <v>5000</v>
      </c>
      <c r="H50" s="78"/>
      <c r="I50" s="78">
        <v>3000</v>
      </c>
      <c r="J50" s="78"/>
      <c r="K50" s="78"/>
      <c r="L50" s="78">
        <v>5000</v>
      </c>
      <c r="M50" s="78"/>
      <c r="N50" s="78"/>
      <c r="O50" s="78"/>
      <c r="P50" s="68"/>
      <c r="Q50" s="78"/>
      <c r="R50" s="68">
        <f>SUM(C50:P50)</f>
        <v>25320</v>
      </c>
    </row>
    <row r="51" spans="1:18" ht="14.25">
      <c r="A51" s="91" t="s">
        <v>290</v>
      </c>
      <c r="B51" s="77"/>
      <c r="C51" s="77">
        <f>150000-6500-7500-7500-7500-7500-8000-8000-8000-8000-45000-8000</f>
        <v>28500</v>
      </c>
      <c r="D51" s="77"/>
      <c r="E51" s="77">
        <f>90000-4200-4200-4200-1700-4700-4700-6000-1700-4700-3000</f>
        <v>50900</v>
      </c>
      <c r="F51" s="77"/>
      <c r="G51" s="77">
        <f>36000-2400-3000-3000-3000-3000-3000-3000-3000-3000+10000-3000</f>
        <v>16600</v>
      </c>
      <c r="H51" s="77"/>
      <c r="I51" s="77"/>
      <c r="J51" s="77"/>
      <c r="K51" s="77"/>
      <c r="L51" s="77">
        <f>78000-5400-5400-5400-5400-2400-2400-2400-2400-6000</f>
        <v>40800</v>
      </c>
      <c r="M51" s="77"/>
      <c r="N51" s="77"/>
      <c r="O51" s="77"/>
      <c r="P51" s="71"/>
      <c r="Q51" s="77"/>
      <c r="R51" s="71">
        <f>SUM(C51:P51)</f>
        <v>136800</v>
      </c>
    </row>
    <row r="52" spans="1:18" ht="14.25">
      <c r="A52" s="91" t="s">
        <v>291</v>
      </c>
      <c r="B52" s="77"/>
      <c r="C52" s="77">
        <f>50000-1960-10350-6961</f>
        <v>30729</v>
      </c>
      <c r="D52" s="77"/>
      <c r="E52" s="77">
        <f>20000-750</f>
        <v>19250</v>
      </c>
      <c r="F52" s="77">
        <v>0</v>
      </c>
      <c r="G52" s="77">
        <v>0</v>
      </c>
      <c r="H52" s="77"/>
      <c r="I52" s="77"/>
      <c r="J52" s="77"/>
      <c r="K52" s="77"/>
      <c r="L52" s="77">
        <v>5000</v>
      </c>
      <c r="M52" s="77"/>
      <c r="N52" s="192"/>
      <c r="O52" s="192"/>
      <c r="P52" s="71"/>
      <c r="Q52" s="77"/>
      <c r="R52" s="71">
        <f>SUM(C52:P52)</f>
        <v>54979</v>
      </c>
    </row>
    <row r="53" spans="1:18" ht="14.25">
      <c r="A53" s="126" t="s">
        <v>292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193"/>
      <c r="O53" s="193"/>
      <c r="P53" s="72"/>
      <c r="Q53" s="79"/>
      <c r="R53" s="194"/>
    </row>
    <row r="54" spans="1:18" ht="15" thickBot="1">
      <c r="A54" s="91" t="s">
        <v>36</v>
      </c>
      <c r="B54" s="94"/>
      <c r="C54" s="81">
        <f>SUM(C49:C53)</f>
        <v>344229</v>
      </c>
      <c r="D54" s="94">
        <v>0</v>
      </c>
      <c r="E54" s="94">
        <f>SUM(E49:E52)</f>
        <v>369470</v>
      </c>
      <c r="F54" s="94">
        <v>0</v>
      </c>
      <c r="G54" s="94">
        <f>SUM(G49:G53)</f>
        <v>211600</v>
      </c>
      <c r="H54" s="94">
        <v>0</v>
      </c>
      <c r="I54" s="94">
        <f>SUM(I49:I53)</f>
        <v>10000</v>
      </c>
      <c r="J54" s="94">
        <v>0</v>
      </c>
      <c r="K54" s="94">
        <v>0</v>
      </c>
      <c r="L54" s="94">
        <f>SUM(L49:L53)</f>
        <v>159950</v>
      </c>
      <c r="M54" s="94">
        <f>SUM(M49:M52)</f>
        <v>0</v>
      </c>
      <c r="N54" s="204">
        <v>0</v>
      </c>
      <c r="O54" s="204">
        <v>0</v>
      </c>
      <c r="P54" s="94">
        <v>0</v>
      </c>
      <c r="Q54" s="94"/>
      <c r="R54" s="73">
        <f>SUM(C54:P54)</f>
        <v>1095249</v>
      </c>
    </row>
    <row r="55" spans="1:18" ht="15" thickTop="1">
      <c r="A55" s="95" t="s">
        <v>293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4"/>
      <c r="O55" s="84"/>
      <c r="P55" s="84"/>
      <c r="Q55" s="84"/>
      <c r="R55" s="85"/>
    </row>
    <row r="56" spans="1:18" ht="14.25">
      <c r="A56" s="95" t="s">
        <v>294</v>
      </c>
      <c r="B56" s="83"/>
      <c r="C56" s="83">
        <f>480000-19752-22627.3-14000-113652-14400-52830.05-26370.65-12010.2-7000-3771-635-1800-1800-7500-3900-3900+45000-31342.65</f>
        <v>187709.15000000002</v>
      </c>
      <c r="D56" s="83"/>
      <c r="E56" s="83">
        <f>70000-24600</f>
        <v>45400</v>
      </c>
      <c r="F56" s="83"/>
      <c r="G56" s="83">
        <f>60000-840.5+80000-50143-6500</f>
        <v>82516.5</v>
      </c>
      <c r="H56" s="83"/>
      <c r="I56" s="83">
        <v>20000</v>
      </c>
      <c r="J56" s="83"/>
      <c r="K56" s="83" t="s">
        <v>264</v>
      </c>
      <c r="L56" s="83">
        <v>85000</v>
      </c>
      <c r="M56" s="83">
        <f>300000-300000</f>
        <v>0</v>
      </c>
      <c r="N56" s="83"/>
      <c r="O56" s="83"/>
      <c r="P56" s="84"/>
      <c r="Q56" s="83"/>
      <c r="R56" s="84">
        <f>SUM(C56:P56)</f>
        <v>420625.65</v>
      </c>
    </row>
    <row r="57" spans="1:18" ht="14.25">
      <c r="A57" s="91" t="s">
        <v>295</v>
      </c>
      <c r="B57" s="77"/>
      <c r="C57" s="77">
        <f>70000-1500-19955-750-750-750</f>
        <v>46295</v>
      </c>
      <c r="D57" s="77"/>
      <c r="E57" s="77"/>
      <c r="F57" s="77"/>
      <c r="G57" s="77">
        <v>10000</v>
      </c>
      <c r="H57" s="77"/>
      <c r="I57" s="77"/>
      <c r="J57" s="77"/>
      <c r="K57" s="77"/>
      <c r="L57" s="77"/>
      <c r="M57" s="77"/>
      <c r="N57" s="77"/>
      <c r="O57" s="77"/>
      <c r="P57" s="71"/>
      <c r="Q57" s="77"/>
      <c r="R57" s="71">
        <f>SUM(C57:Q57)</f>
        <v>56295</v>
      </c>
    </row>
    <row r="58" spans="1:18" ht="14.25">
      <c r="A58" s="95" t="s">
        <v>296</v>
      </c>
      <c r="B58" s="77"/>
      <c r="C58" s="77">
        <f>585000-1000-7849.25-800-11250-298830-10000-39920+101820+50000-30000+30000-46905-278511-4552-2000-1240</f>
        <v>33962.75</v>
      </c>
      <c r="D58" s="77">
        <f>50000-30000</f>
        <v>20000</v>
      </c>
      <c r="E58" s="77">
        <f>40000-9600-3000</f>
        <v>27400</v>
      </c>
      <c r="F58" s="77">
        <f>240000-19300-18700</f>
        <v>202000</v>
      </c>
      <c r="G58" s="77">
        <f>50000-800-7077-2816-7180</f>
        <v>32127</v>
      </c>
      <c r="H58" s="77">
        <f>553400-33264-33264-45464-31648-40464-18018-37837.8</f>
        <v>313440.2</v>
      </c>
      <c r="I58" s="77">
        <v>5000</v>
      </c>
      <c r="J58" s="77">
        <f>470000-70000-278100-21900-63000-6375</f>
        <v>30625</v>
      </c>
      <c r="K58" s="77">
        <v>0</v>
      </c>
      <c r="L58" s="77">
        <f>40000-2500</f>
        <v>37500</v>
      </c>
      <c r="M58" s="77"/>
      <c r="N58" s="77">
        <v>120000</v>
      </c>
      <c r="O58" s="77">
        <f>160000-38000-62000</f>
        <v>60000</v>
      </c>
      <c r="P58" s="71">
        <f>270000-1000-151694-50000</f>
        <v>67306</v>
      </c>
      <c r="Q58" s="77"/>
      <c r="R58" s="71">
        <f>SUM(C58:P58)</f>
        <v>949360.95</v>
      </c>
    </row>
    <row r="59" spans="1:18" ht="14.25">
      <c r="A59" s="95" t="s">
        <v>297</v>
      </c>
      <c r="B59" s="77"/>
      <c r="C59" s="77">
        <f>40000-3900-500-6500-5000-1000-2450-2800-2500</f>
        <v>15350</v>
      </c>
      <c r="D59" s="77"/>
      <c r="E59" s="77">
        <f>30000-2350-5000</f>
        <v>22650</v>
      </c>
      <c r="F59" s="77"/>
      <c r="G59" s="77">
        <f>15000-1200-950-2500-3800-300</f>
        <v>6250</v>
      </c>
      <c r="H59" s="77"/>
      <c r="I59" s="77">
        <v>10000</v>
      </c>
      <c r="J59" s="77"/>
      <c r="K59" s="77"/>
      <c r="L59" s="77">
        <f>20000-1150-1250-1390</f>
        <v>16210</v>
      </c>
      <c r="M59" s="77"/>
      <c r="N59" s="77"/>
      <c r="O59" s="77"/>
      <c r="P59" s="71"/>
      <c r="Q59" s="77"/>
      <c r="R59" s="71">
        <f>SUM(C59:Q59)</f>
        <v>70460</v>
      </c>
    </row>
    <row r="60" spans="1:18" ht="15" thickBot="1">
      <c r="A60" s="91" t="s">
        <v>36</v>
      </c>
      <c r="B60" s="94"/>
      <c r="C60" s="81">
        <f>SUM(C56:C59)</f>
        <v>283316.9</v>
      </c>
      <c r="D60" s="94">
        <f>SUM(D58:D59)</f>
        <v>20000</v>
      </c>
      <c r="E60" s="94">
        <f>SUM(E56:E59)</f>
        <v>95450</v>
      </c>
      <c r="F60" s="94">
        <f>SUM(F58)</f>
        <v>202000</v>
      </c>
      <c r="G60" s="94">
        <f>SUM(G56:G59)</f>
        <v>130893.5</v>
      </c>
      <c r="H60" s="94">
        <f>SUM(H56:H59)</f>
        <v>313440.2</v>
      </c>
      <c r="I60" s="94">
        <f>SUM(I56:I59)</f>
        <v>35000</v>
      </c>
      <c r="J60" s="94">
        <f>SUM(J58)</f>
        <v>30625</v>
      </c>
      <c r="K60" s="94">
        <f>SUM(K56:K59)</f>
        <v>0</v>
      </c>
      <c r="L60" s="94">
        <f>SUM(L56:L59)</f>
        <v>138710</v>
      </c>
      <c r="M60" s="94">
        <f>SUM(M56:M59)</f>
        <v>0</v>
      </c>
      <c r="N60" s="94">
        <f>SUM(N58)</f>
        <v>120000</v>
      </c>
      <c r="O60" s="94">
        <f>SUM(O58)</f>
        <v>60000</v>
      </c>
      <c r="P60" s="94">
        <f>SUM(P56:P59)</f>
        <v>67306</v>
      </c>
      <c r="Q60" s="94"/>
      <c r="R60" s="74">
        <f>SUM(C60:P60)</f>
        <v>1496741.6</v>
      </c>
    </row>
    <row r="61" spans="1:18" ht="15" thickTop="1">
      <c r="A61" s="95" t="s">
        <v>298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4"/>
      <c r="O61" s="84"/>
      <c r="P61" s="84"/>
      <c r="Q61" s="84"/>
      <c r="R61" s="84"/>
    </row>
    <row r="62" spans="1:18" ht="14.25">
      <c r="A62" s="95" t="s">
        <v>299</v>
      </c>
      <c r="B62" s="83"/>
      <c r="C62" s="83"/>
      <c r="D62" s="83"/>
      <c r="E62" s="83">
        <f>100000-26482-3500-35089-5400+30000-19214+20000+20000-55725</f>
        <v>24590</v>
      </c>
      <c r="F62" s="83"/>
      <c r="G62" s="83">
        <f>20000-4760</f>
        <v>15240</v>
      </c>
      <c r="H62" s="83"/>
      <c r="I62" s="83"/>
      <c r="J62" s="83"/>
      <c r="K62" s="83"/>
      <c r="L62" s="83"/>
      <c r="M62" s="83"/>
      <c r="N62" s="83"/>
      <c r="O62" s="83"/>
      <c r="P62" s="84"/>
      <c r="Q62" s="83"/>
      <c r="R62" s="84">
        <f>SUM(C62:P62)</f>
        <v>39830</v>
      </c>
    </row>
    <row r="63" spans="1:18" ht="14.25">
      <c r="A63" s="91" t="s">
        <v>300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>
        <v>0</v>
      </c>
      <c r="M63" s="77">
        <v>35000</v>
      </c>
      <c r="N63" s="77"/>
      <c r="O63" s="77"/>
      <c r="P63" s="71"/>
      <c r="Q63" s="77"/>
      <c r="R63" s="71">
        <f>SUM(C63:Q63)</f>
        <v>35000</v>
      </c>
    </row>
    <row r="64" spans="1:18" ht="14.25">
      <c r="A64" s="95" t="s">
        <v>301</v>
      </c>
      <c r="B64" s="77"/>
      <c r="C64" s="77"/>
      <c r="D64" s="77"/>
      <c r="E64" s="77">
        <f>25000-240-400-220-340-260-300-380-260-11584</f>
        <v>11016</v>
      </c>
      <c r="F64" s="77"/>
      <c r="G64" s="77">
        <f>20000-18119</f>
        <v>1881</v>
      </c>
      <c r="H64" s="77">
        <v>0</v>
      </c>
      <c r="I64" s="77"/>
      <c r="J64" s="77"/>
      <c r="K64" s="77"/>
      <c r="L64" s="77"/>
      <c r="M64" s="77"/>
      <c r="N64" s="77"/>
      <c r="O64" s="77"/>
      <c r="P64" s="71"/>
      <c r="Q64" s="77"/>
      <c r="R64" s="71">
        <f>SUM(C64:P64)</f>
        <v>12897</v>
      </c>
    </row>
    <row r="65" spans="1:18" ht="14.25">
      <c r="A65" s="95" t="s">
        <v>302</v>
      </c>
      <c r="B65" s="77"/>
      <c r="C65" s="77"/>
      <c r="D65" s="77"/>
      <c r="E65" s="77"/>
      <c r="F65" s="77"/>
      <c r="G65" s="77">
        <v>0</v>
      </c>
      <c r="H65" s="77">
        <f>1081920-74911.2-74656.4-74656.4-278537.52-36979.6-77657.16</f>
        <v>464521.72</v>
      </c>
      <c r="I65" s="77"/>
      <c r="J65" s="77"/>
      <c r="K65" s="77"/>
      <c r="L65" s="77"/>
      <c r="M65" s="77"/>
      <c r="N65" s="77"/>
      <c r="O65" s="77"/>
      <c r="P65" s="71"/>
      <c r="Q65" s="77"/>
      <c r="R65" s="71">
        <f aca="true" t="shared" si="1" ref="R65:R71">SUM(B65:Q65)</f>
        <v>464521.72</v>
      </c>
    </row>
    <row r="66" spans="1:18" ht="14.25">
      <c r="A66" s="95" t="s">
        <v>303</v>
      </c>
      <c r="B66" s="77"/>
      <c r="C66" s="77"/>
      <c r="D66" s="77"/>
      <c r="E66" s="77"/>
      <c r="F66" s="77"/>
      <c r="G66" s="77"/>
      <c r="H66" s="77">
        <v>0</v>
      </c>
      <c r="I66" s="77"/>
      <c r="J66" s="77"/>
      <c r="K66" s="77"/>
      <c r="L66" s="77"/>
      <c r="M66" s="77"/>
      <c r="N66" s="77"/>
      <c r="O66" s="77"/>
      <c r="P66" s="71"/>
      <c r="Q66" s="77"/>
      <c r="R66" s="71">
        <f t="shared" si="1"/>
        <v>0</v>
      </c>
    </row>
    <row r="67" spans="1:18" ht="14.25">
      <c r="A67" s="95" t="s">
        <v>304</v>
      </c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>
        <f>20000-19840</f>
        <v>160</v>
      </c>
      <c r="M67" s="77"/>
      <c r="N67" s="77"/>
      <c r="O67" s="77"/>
      <c r="P67" s="71"/>
      <c r="Q67" s="77"/>
      <c r="R67" s="71">
        <f t="shared" si="1"/>
        <v>160</v>
      </c>
    </row>
    <row r="68" spans="1:18" ht="14.25">
      <c r="A68" s="95" t="s">
        <v>305</v>
      </c>
      <c r="B68" s="77"/>
      <c r="C68" s="77">
        <f>60000-2650-7000</f>
        <v>50350</v>
      </c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1"/>
      <c r="Q68" s="77"/>
      <c r="R68" s="71">
        <f t="shared" si="1"/>
        <v>50350</v>
      </c>
    </row>
    <row r="69" spans="1:18" ht="14.25">
      <c r="A69" s="95" t="s">
        <v>306</v>
      </c>
      <c r="B69" s="77"/>
      <c r="C69" s="77">
        <f>150000-13050-9990-9510-8040-7000-11900-6520-7240-12380</f>
        <v>64370</v>
      </c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1"/>
      <c r="Q69" s="77"/>
      <c r="R69" s="71">
        <f t="shared" si="1"/>
        <v>64370</v>
      </c>
    </row>
    <row r="70" spans="1:18" ht="14.25">
      <c r="A70" s="95" t="s">
        <v>337</v>
      </c>
      <c r="B70" s="77"/>
      <c r="C70" s="77"/>
      <c r="D70" s="77"/>
      <c r="E70" s="77"/>
      <c r="F70" s="77"/>
      <c r="G70" s="77"/>
      <c r="H70" s="77">
        <v>0</v>
      </c>
      <c r="I70" s="77">
        <v>20000</v>
      </c>
      <c r="J70" s="77"/>
      <c r="K70" s="77"/>
      <c r="L70" s="77"/>
      <c r="M70" s="77"/>
      <c r="N70" s="77"/>
      <c r="O70" s="77"/>
      <c r="P70" s="71"/>
      <c r="Q70" s="77"/>
      <c r="R70" s="71">
        <f t="shared" si="1"/>
        <v>20000</v>
      </c>
    </row>
    <row r="71" spans="1:18" ht="14.25">
      <c r="A71" s="95" t="s">
        <v>307</v>
      </c>
      <c r="B71" s="77"/>
      <c r="C71" s="77">
        <f>10000</f>
        <v>10000</v>
      </c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1"/>
      <c r="Q71" s="77"/>
      <c r="R71" s="71">
        <f t="shared" si="1"/>
        <v>10000</v>
      </c>
    </row>
    <row r="72" spans="1:18" ht="14.25">
      <c r="A72" s="95" t="s">
        <v>338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>
        <v>0</v>
      </c>
      <c r="O72" s="77">
        <v>0</v>
      </c>
      <c r="P72" s="71"/>
      <c r="Q72" s="77"/>
      <c r="R72" s="71">
        <v>0</v>
      </c>
    </row>
    <row r="73" spans="1:18" ht="14.25">
      <c r="A73" s="95" t="s">
        <v>308</v>
      </c>
      <c r="B73" s="77"/>
      <c r="C73" s="77">
        <f>80000-5400-6850-8600-8100-8100</f>
        <v>42950</v>
      </c>
      <c r="D73" s="77"/>
      <c r="E73" s="77">
        <f>100000-38200-15800-7600-20700+20000+10000-8700</f>
        <v>39000</v>
      </c>
      <c r="F73" s="77"/>
      <c r="G73" s="77">
        <f>25000</f>
        <v>25000</v>
      </c>
      <c r="H73" s="77"/>
      <c r="I73" s="77"/>
      <c r="J73" s="77"/>
      <c r="K73" s="77"/>
      <c r="L73" s="77">
        <f>30000-900-1500</f>
        <v>27600</v>
      </c>
      <c r="M73" s="77"/>
      <c r="N73" s="77"/>
      <c r="O73" s="77"/>
      <c r="P73" s="71"/>
      <c r="Q73" s="77"/>
      <c r="R73" s="71">
        <f>SUM(B73:Q73)</f>
        <v>134550</v>
      </c>
    </row>
    <row r="74" spans="1:18" ht="14.25">
      <c r="A74" s="95" t="s">
        <v>309</v>
      </c>
      <c r="B74" s="77"/>
      <c r="C74" s="77"/>
      <c r="D74" s="77"/>
      <c r="E74" s="77"/>
      <c r="F74" s="77"/>
      <c r="G74" s="77"/>
      <c r="H74" s="77">
        <f>20000-20000</f>
        <v>0</v>
      </c>
      <c r="I74" s="77"/>
      <c r="J74" s="77"/>
      <c r="K74" s="77"/>
      <c r="L74" s="77"/>
      <c r="M74" s="77"/>
      <c r="N74" s="77"/>
      <c r="O74" s="77"/>
      <c r="P74" s="71"/>
      <c r="Q74" s="77"/>
      <c r="R74" s="71">
        <f>SUM(B74:Q74)</f>
        <v>0</v>
      </c>
    </row>
    <row r="75" spans="1:18" ht="14.25">
      <c r="A75" s="95" t="s">
        <v>310</v>
      </c>
      <c r="B75" s="77"/>
      <c r="C75" s="77"/>
      <c r="D75" s="77"/>
      <c r="E75" s="77"/>
      <c r="F75" s="77"/>
      <c r="G75" s="77"/>
      <c r="H75" s="77">
        <v>5000</v>
      </c>
      <c r="I75" s="77"/>
      <c r="J75" s="77"/>
      <c r="K75" s="77"/>
      <c r="L75" s="77"/>
      <c r="M75" s="77"/>
      <c r="N75" s="77"/>
      <c r="O75" s="77"/>
      <c r="P75" s="71"/>
      <c r="Q75" s="77"/>
      <c r="R75" s="71">
        <f>SUM(B75:Q75)</f>
        <v>5000</v>
      </c>
    </row>
    <row r="76" spans="1:18" ht="15" thickBot="1">
      <c r="A76" s="91" t="s">
        <v>36</v>
      </c>
      <c r="B76" s="94"/>
      <c r="C76" s="81">
        <f>SUM(C62:C75)</f>
        <v>167670</v>
      </c>
      <c r="D76" s="94">
        <v>0</v>
      </c>
      <c r="E76" s="94">
        <f>SUM(E62:E75)</f>
        <v>74606</v>
      </c>
      <c r="F76" s="94">
        <v>0</v>
      </c>
      <c r="G76" s="94">
        <f>SUM(G62:G75)</f>
        <v>42121</v>
      </c>
      <c r="H76" s="94">
        <f>SUM(H62:H75)</f>
        <v>469521.72</v>
      </c>
      <c r="I76" s="94">
        <f>SUM(I62:I75)</f>
        <v>20000</v>
      </c>
      <c r="J76" s="94">
        <v>0</v>
      </c>
      <c r="K76" s="94">
        <v>0</v>
      </c>
      <c r="L76" s="94">
        <f>SUM(L63:L75)</f>
        <v>27760</v>
      </c>
      <c r="M76" s="94">
        <f>SUM(M63)</f>
        <v>35000</v>
      </c>
      <c r="N76" s="94">
        <f>SUM(N62:N75)</f>
        <v>0</v>
      </c>
      <c r="O76" s="94">
        <f>SUM(O62:O75)</f>
        <v>0</v>
      </c>
      <c r="P76" s="94">
        <v>0</v>
      </c>
      <c r="Q76" s="94"/>
      <c r="R76" s="74">
        <f>SUM(R62:R75)</f>
        <v>836678.72</v>
      </c>
    </row>
    <row r="77" spans="1:18" ht="15" thickTop="1">
      <c r="A77" s="206"/>
      <c r="B77" s="207"/>
      <c r="C77" s="205"/>
      <c r="D77" s="207"/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7"/>
      <c r="P77" s="207"/>
      <c r="Q77" s="207"/>
      <c r="R77" s="205"/>
    </row>
    <row r="78" spans="1:18" ht="14.25">
      <c r="A78" s="206"/>
      <c r="B78" s="207"/>
      <c r="C78" s="205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207"/>
      <c r="R78" s="205"/>
    </row>
    <row r="79" spans="1:18" ht="14.25">
      <c r="A79" s="206"/>
      <c r="B79" s="207"/>
      <c r="C79" s="205"/>
      <c r="D79" s="207"/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Q79" s="207"/>
      <c r="R79" s="205"/>
    </row>
    <row r="82" spans="1:18" s="65" customFormat="1" ht="13.5" customHeight="1">
      <c r="A82" s="66" t="s">
        <v>118</v>
      </c>
      <c r="B82" s="357" t="s">
        <v>95</v>
      </c>
      <c r="C82" s="358" t="s">
        <v>96</v>
      </c>
      <c r="D82" s="358"/>
      <c r="E82" s="358"/>
      <c r="F82" s="88" t="s">
        <v>97</v>
      </c>
      <c r="G82" s="358" t="s">
        <v>98</v>
      </c>
      <c r="H82" s="358"/>
      <c r="I82" s="358" t="s">
        <v>99</v>
      </c>
      <c r="J82" s="358"/>
      <c r="K82" s="88" t="s">
        <v>100</v>
      </c>
      <c r="L82" s="358" t="s">
        <v>101</v>
      </c>
      <c r="M82" s="358"/>
      <c r="N82" s="88" t="s">
        <v>432</v>
      </c>
      <c r="O82" s="358" t="s">
        <v>102</v>
      </c>
      <c r="P82" s="358"/>
      <c r="Q82" s="224"/>
      <c r="R82" s="355" t="s">
        <v>19</v>
      </c>
    </row>
    <row r="83" spans="1:18" s="65" customFormat="1" ht="13.5" customHeight="1">
      <c r="A83" s="67" t="s">
        <v>119</v>
      </c>
      <c r="B83" s="357"/>
      <c r="C83" s="88" t="s">
        <v>103</v>
      </c>
      <c r="D83" s="88" t="s">
        <v>114</v>
      </c>
      <c r="E83" s="88" t="s">
        <v>104</v>
      </c>
      <c r="F83" s="88" t="s">
        <v>105</v>
      </c>
      <c r="G83" s="88" t="s">
        <v>106</v>
      </c>
      <c r="H83" s="88" t="s">
        <v>107</v>
      </c>
      <c r="I83" s="88" t="s">
        <v>108</v>
      </c>
      <c r="J83" s="88" t="s">
        <v>109</v>
      </c>
      <c r="K83" s="88" t="s">
        <v>115</v>
      </c>
      <c r="L83" s="88" t="s">
        <v>110</v>
      </c>
      <c r="M83" s="88" t="s">
        <v>111</v>
      </c>
      <c r="N83" s="88" t="s">
        <v>431</v>
      </c>
      <c r="O83" s="88" t="s">
        <v>112</v>
      </c>
      <c r="P83" s="88" t="s">
        <v>113</v>
      </c>
      <c r="Q83" s="201" t="s">
        <v>117</v>
      </c>
      <c r="R83" s="356"/>
    </row>
    <row r="84" spans="1:18" ht="13.5" customHeight="1">
      <c r="A84" s="93" t="s">
        <v>311</v>
      </c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</row>
    <row r="85" spans="1:18" ht="13.5" customHeight="1">
      <c r="A85" s="95" t="s">
        <v>312</v>
      </c>
      <c r="B85" s="68"/>
      <c r="C85" s="68">
        <f>150000-9532.29-8719.1-15062.07-6166.84-12052.38-11194.79-13100.66-13687.5</f>
        <v>60484.369999999966</v>
      </c>
      <c r="D85" s="68"/>
      <c r="E85" s="68"/>
      <c r="F85" s="68"/>
      <c r="G85" s="68">
        <f>30000-2366.72-1607.6-2317.44-592.07-1443.74-1318.76-780.76-428-2942.38</f>
        <v>16202.530000000002</v>
      </c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>
        <f>SUM(C85:P85)</f>
        <v>76686.89999999997</v>
      </c>
    </row>
    <row r="86" spans="1:18" ht="13.5" customHeight="1">
      <c r="A86" s="91" t="s">
        <v>313</v>
      </c>
      <c r="B86" s="71"/>
      <c r="C86" s="71">
        <f>6000-160-190-380-380-300-230-240-190-290</f>
        <v>3640</v>
      </c>
      <c r="D86" s="71"/>
      <c r="E86" s="71"/>
      <c r="F86" s="71"/>
      <c r="G86" s="71">
        <f>5000-40-90-50-40-160-20-50-130</f>
        <v>4420</v>
      </c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>
        <f>SUM(C86:P86)</f>
        <v>8060</v>
      </c>
    </row>
    <row r="87" spans="1:18" ht="13.5" customHeight="1">
      <c r="A87" s="91" t="s">
        <v>314</v>
      </c>
      <c r="B87" s="71"/>
      <c r="C87" s="71">
        <f>20000-1089.26-2197.78-941.6-1988.06-990.82-1018.64-997.24-1020.78</f>
        <v>9755.820000000003</v>
      </c>
      <c r="D87" s="71"/>
      <c r="E87" s="71"/>
      <c r="F87" s="71"/>
      <c r="G87" s="71">
        <f>10000-438.7-873.12-428-868.84-428-428-428</f>
        <v>6107.339999999998</v>
      </c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>
        <f>SUM(C87:P87)</f>
        <v>15863.160000000002</v>
      </c>
    </row>
    <row r="88" spans="1:18" ht="13.5" customHeight="1">
      <c r="A88" s="90" t="s">
        <v>315</v>
      </c>
      <c r="B88" s="71"/>
      <c r="C88" s="71">
        <f>20000-13500</f>
        <v>6500</v>
      </c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>
        <f>SUM(C88:Q88)</f>
        <v>6500</v>
      </c>
    </row>
    <row r="89" spans="1:18" ht="13.5" customHeight="1">
      <c r="A89" s="91" t="s">
        <v>316</v>
      </c>
      <c r="B89" s="72"/>
      <c r="C89" s="72">
        <f>90000-5339.3-10678.6-5339.3-10678.6-5339.3-5339.3-7000-5339.3-5339.3</f>
        <v>29606.99999999998</v>
      </c>
      <c r="D89" s="72"/>
      <c r="E89" s="72"/>
      <c r="F89" s="72"/>
      <c r="G89" s="72">
        <f>25000-1701.3-3402.6-1701.3-3402.6-1701.3-1701.3-1701.3-1701.3</f>
        <v>7987.000000000005</v>
      </c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>
        <f>SUM(C89:P89)</f>
        <v>37593.999999999985</v>
      </c>
    </row>
    <row r="90" spans="1:18" ht="13.5" customHeight="1" thickBot="1">
      <c r="A90" s="91" t="s">
        <v>36</v>
      </c>
      <c r="B90" s="62"/>
      <c r="C90" s="62">
        <f>SUM(C85:C89)</f>
        <v>109987.18999999996</v>
      </c>
      <c r="D90" s="62">
        <v>0</v>
      </c>
      <c r="E90" s="62">
        <v>0</v>
      </c>
      <c r="F90" s="62">
        <v>0</v>
      </c>
      <c r="G90" s="62">
        <f>SUM(G85:G89)</f>
        <v>34716.87000000001</v>
      </c>
      <c r="H90" s="62">
        <v>0</v>
      </c>
      <c r="I90" s="62">
        <v>0</v>
      </c>
      <c r="J90" s="62">
        <v>0</v>
      </c>
      <c r="K90" s="62">
        <v>0</v>
      </c>
      <c r="L90" s="62">
        <v>0</v>
      </c>
      <c r="M90" s="62">
        <v>0</v>
      </c>
      <c r="N90" s="62">
        <v>0</v>
      </c>
      <c r="O90" s="62">
        <v>0</v>
      </c>
      <c r="P90" s="62">
        <v>0</v>
      </c>
      <c r="Q90" s="62"/>
      <c r="R90" s="73">
        <f>SUM(C90:P90)</f>
        <v>144704.05999999997</v>
      </c>
    </row>
    <row r="91" spans="1:18" ht="13.5" customHeight="1" thickTop="1">
      <c r="A91" s="93" t="s">
        <v>317</v>
      </c>
      <c r="B91" s="75"/>
      <c r="C91" s="75"/>
      <c r="D91" s="75"/>
      <c r="E91" s="75"/>
      <c r="F91" s="75"/>
      <c r="G91" s="75"/>
      <c r="H91" s="75"/>
      <c r="I91" s="75"/>
      <c r="J91" s="85"/>
      <c r="K91" s="75"/>
      <c r="L91" s="75"/>
      <c r="M91" s="75"/>
      <c r="N91" s="75"/>
      <c r="O91" s="75"/>
      <c r="P91" s="76"/>
      <c r="Q91" s="75"/>
      <c r="R91" s="76"/>
    </row>
    <row r="92" spans="1:18" ht="13.5" customHeight="1">
      <c r="A92" s="91" t="s">
        <v>318</v>
      </c>
      <c r="B92" s="77"/>
      <c r="C92" s="77">
        <v>9900</v>
      </c>
      <c r="D92" s="77"/>
      <c r="E92" s="77"/>
      <c r="F92" s="77"/>
      <c r="G92" s="77">
        <f>20000-20000</f>
        <v>0</v>
      </c>
      <c r="H92" s="77"/>
      <c r="I92" s="77"/>
      <c r="J92" s="83"/>
      <c r="K92" s="77"/>
      <c r="L92" s="77">
        <v>24000</v>
      </c>
      <c r="M92" s="77"/>
      <c r="N92" s="77"/>
      <c r="O92" s="77"/>
      <c r="P92" s="71"/>
      <c r="Q92" s="77"/>
      <c r="R92" s="71">
        <f aca="true" t="shared" si="2" ref="R92:R99">SUM(C92:Q92)</f>
        <v>33900</v>
      </c>
    </row>
    <row r="93" spans="1:18" ht="13.5" customHeight="1">
      <c r="A93" s="91" t="s">
        <v>319</v>
      </c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>
        <f>39000-34900</f>
        <v>4100</v>
      </c>
      <c r="M93" s="77"/>
      <c r="N93" s="77"/>
      <c r="O93" s="77"/>
      <c r="P93" s="71"/>
      <c r="Q93" s="77"/>
      <c r="R93" s="71">
        <f t="shared" si="2"/>
        <v>4100</v>
      </c>
    </row>
    <row r="94" spans="1:18" ht="13.5" customHeight="1">
      <c r="A94" s="195" t="s">
        <v>320</v>
      </c>
      <c r="B94" s="77"/>
      <c r="C94" s="77"/>
      <c r="D94" s="77"/>
      <c r="E94" s="77"/>
      <c r="F94" s="77"/>
      <c r="G94" s="77">
        <v>0</v>
      </c>
      <c r="H94" s="77"/>
      <c r="I94" s="77"/>
      <c r="J94" s="77"/>
      <c r="K94" s="77"/>
      <c r="L94" s="77"/>
      <c r="M94" s="77"/>
      <c r="N94" s="77"/>
      <c r="O94" s="77"/>
      <c r="P94" s="71"/>
      <c r="Q94" s="77"/>
      <c r="R94" s="196">
        <f t="shared" si="2"/>
        <v>0</v>
      </c>
    </row>
    <row r="95" spans="1:18" ht="13.5" customHeight="1">
      <c r="A95" s="191" t="s">
        <v>321</v>
      </c>
      <c r="B95" s="77"/>
      <c r="C95" s="77"/>
      <c r="D95" s="77"/>
      <c r="E95" s="77"/>
      <c r="F95" s="77"/>
      <c r="G95" s="77"/>
      <c r="H95" s="77">
        <v>10000</v>
      </c>
      <c r="I95" s="77"/>
      <c r="J95" s="77"/>
      <c r="K95" s="77"/>
      <c r="L95" s="77"/>
      <c r="M95" s="77"/>
      <c r="N95" s="77"/>
      <c r="O95" s="77"/>
      <c r="P95" s="71"/>
      <c r="Q95" s="77"/>
      <c r="R95" s="77">
        <f t="shared" si="2"/>
        <v>10000</v>
      </c>
    </row>
    <row r="96" spans="1:18" ht="13.5" customHeight="1">
      <c r="A96" s="195" t="s">
        <v>322</v>
      </c>
      <c r="B96" s="77"/>
      <c r="C96" s="77"/>
      <c r="D96" s="77"/>
      <c r="E96" s="77"/>
      <c r="F96" s="77"/>
      <c r="G96" s="77">
        <v>20000</v>
      </c>
      <c r="H96" s="77"/>
      <c r="I96" s="77"/>
      <c r="J96" s="77"/>
      <c r="K96" s="77"/>
      <c r="L96" s="77"/>
      <c r="M96" s="77"/>
      <c r="N96" s="77"/>
      <c r="O96" s="77"/>
      <c r="P96" s="71"/>
      <c r="Q96" s="77"/>
      <c r="R96" s="196">
        <f t="shared" si="2"/>
        <v>20000</v>
      </c>
    </row>
    <row r="97" spans="1:18" ht="13.5" customHeight="1">
      <c r="A97" s="197" t="s">
        <v>323</v>
      </c>
      <c r="B97" s="83"/>
      <c r="C97" s="83"/>
      <c r="D97" s="83"/>
      <c r="E97" s="83"/>
      <c r="F97" s="83"/>
      <c r="G97" s="83">
        <v>5000</v>
      </c>
      <c r="H97" s="83"/>
      <c r="I97" s="83"/>
      <c r="J97" s="83"/>
      <c r="K97" s="83"/>
      <c r="L97" s="83"/>
      <c r="M97" s="83"/>
      <c r="N97" s="83"/>
      <c r="O97" s="83"/>
      <c r="P97" s="84"/>
      <c r="Q97" s="83"/>
      <c r="R97" s="198">
        <f t="shared" si="2"/>
        <v>5000</v>
      </c>
    </row>
    <row r="98" spans="1:18" ht="13.5" customHeight="1">
      <c r="A98" s="195" t="s">
        <v>324</v>
      </c>
      <c r="B98" s="77"/>
      <c r="C98" s="77"/>
      <c r="D98" s="77"/>
      <c r="E98" s="77"/>
      <c r="F98" s="77"/>
      <c r="G98" s="77">
        <v>0</v>
      </c>
      <c r="H98" s="77"/>
      <c r="I98" s="77"/>
      <c r="J98" s="77"/>
      <c r="K98" s="77"/>
      <c r="L98" s="77"/>
      <c r="M98" s="77"/>
      <c r="N98" s="77"/>
      <c r="O98" s="77"/>
      <c r="P98" s="71"/>
      <c r="Q98" s="77"/>
      <c r="R98" s="196">
        <f t="shared" si="2"/>
        <v>0</v>
      </c>
    </row>
    <row r="99" spans="1:18" ht="13.5" customHeight="1">
      <c r="A99" s="90" t="s">
        <v>325</v>
      </c>
      <c r="B99" s="78"/>
      <c r="C99" s="78">
        <f>40000-13060.45+30000-6238.1-30000</f>
        <v>20701.450000000004</v>
      </c>
      <c r="D99" s="78"/>
      <c r="E99" s="78"/>
      <c r="F99" s="78"/>
      <c r="G99" s="78">
        <f>50000-35000</f>
        <v>15000</v>
      </c>
      <c r="H99" s="153"/>
      <c r="I99" s="78">
        <f>17000+3000-18370</f>
        <v>1630</v>
      </c>
      <c r="J99" s="78"/>
      <c r="K99" s="78"/>
      <c r="L99" s="78">
        <f>20000-5350</f>
        <v>14650</v>
      </c>
      <c r="M99" s="78"/>
      <c r="N99" s="78"/>
      <c r="O99" s="78"/>
      <c r="P99" s="68"/>
      <c r="Q99" s="78"/>
      <c r="R99" s="208">
        <f t="shared" si="2"/>
        <v>51981.450000000004</v>
      </c>
    </row>
    <row r="100" spans="1:18" ht="13.5" customHeight="1" thickBot="1">
      <c r="A100" s="91" t="s">
        <v>36</v>
      </c>
      <c r="B100" s="94"/>
      <c r="C100" s="94">
        <f>SUM(C92:C99)</f>
        <v>30601.450000000004</v>
      </c>
      <c r="D100" s="94">
        <v>0</v>
      </c>
      <c r="E100" s="94">
        <v>0</v>
      </c>
      <c r="F100" s="94">
        <v>0</v>
      </c>
      <c r="G100" s="94">
        <f>SUM(G92:G99)</f>
        <v>40000</v>
      </c>
      <c r="H100" s="94">
        <f>SUM(H92:H99)</f>
        <v>10000</v>
      </c>
      <c r="I100" s="94">
        <f>SUM(I99)</f>
        <v>1630</v>
      </c>
      <c r="J100" s="94"/>
      <c r="K100" s="94">
        <v>0</v>
      </c>
      <c r="L100" s="94">
        <f>SUM(L92:L99)</f>
        <v>42750</v>
      </c>
      <c r="M100" s="94">
        <v>0</v>
      </c>
      <c r="N100" s="94">
        <v>0</v>
      </c>
      <c r="O100" s="94">
        <v>0</v>
      </c>
      <c r="P100" s="94">
        <v>0</v>
      </c>
      <c r="Q100" s="94"/>
      <c r="R100" s="209">
        <f>SUM(R92:R99)</f>
        <v>124981.45000000001</v>
      </c>
    </row>
    <row r="101" spans="1:18" ht="13.5" customHeight="1" thickTop="1">
      <c r="A101" s="95" t="s">
        <v>326</v>
      </c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4"/>
      <c r="O101" s="84"/>
      <c r="P101" s="84"/>
      <c r="Q101" s="84"/>
      <c r="R101" s="84"/>
    </row>
    <row r="102" spans="1:18" ht="13.5" customHeight="1">
      <c r="A102" s="95" t="s">
        <v>327</v>
      </c>
      <c r="B102" s="83"/>
      <c r="C102" s="83"/>
      <c r="D102" s="83"/>
      <c r="E102" s="83"/>
      <c r="F102" s="83"/>
      <c r="G102" s="83"/>
      <c r="H102" s="83">
        <v>0</v>
      </c>
      <c r="I102" s="83"/>
      <c r="J102" s="83"/>
      <c r="K102" s="83"/>
      <c r="L102" s="83"/>
      <c r="M102" s="83"/>
      <c r="N102" s="83"/>
      <c r="O102" s="83"/>
      <c r="P102" s="84"/>
      <c r="Q102" s="83"/>
      <c r="R102" s="84">
        <f>SUM(H102:Q102)</f>
        <v>0</v>
      </c>
    </row>
    <row r="103" spans="1:18" ht="13.5" customHeight="1">
      <c r="A103" s="95" t="s">
        <v>328</v>
      </c>
      <c r="B103" s="83"/>
      <c r="C103" s="83"/>
      <c r="D103" s="83"/>
      <c r="E103" s="71"/>
      <c r="F103" s="83"/>
      <c r="G103" s="83"/>
      <c r="H103" s="83">
        <v>95000</v>
      </c>
      <c r="I103" s="83"/>
      <c r="J103" s="83"/>
      <c r="K103" s="83"/>
      <c r="L103" s="83"/>
      <c r="M103" s="83"/>
      <c r="N103" s="83"/>
      <c r="O103" s="83"/>
      <c r="P103" s="84"/>
      <c r="Q103" s="83"/>
      <c r="R103" s="84">
        <f>SUM(H103:Q103)</f>
        <v>95000</v>
      </c>
    </row>
    <row r="104" spans="1:18" ht="13.5" customHeight="1">
      <c r="A104" s="95" t="s">
        <v>329</v>
      </c>
      <c r="B104" s="83"/>
      <c r="C104" s="83"/>
      <c r="D104" s="83"/>
      <c r="E104" s="68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4"/>
      <c r="Q104" s="83">
        <f>2276977-99120-96250</f>
        <v>2081607</v>
      </c>
      <c r="R104" s="84">
        <f>SUM(Q104)</f>
        <v>2081607</v>
      </c>
    </row>
    <row r="105" spans="1:18" ht="13.5" customHeight="1">
      <c r="A105" s="91" t="s">
        <v>429</v>
      </c>
      <c r="B105" s="77"/>
      <c r="C105" s="77"/>
      <c r="D105" s="77"/>
      <c r="E105" s="190"/>
      <c r="F105" s="77"/>
      <c r="G105" s="77"/>
      <c r="H105" s="77">
        <v>10000</v>
      </c>
      <c r="I105" s="77"/>
      <c r="J105" s="77"/>
      <c r="K105" s="77"/>
      <c r="L105" s="77"/>
      <c r="M105" s="77"/>
      <c r="N105" s="77"/>
      <c r="O105" s="77"/>
      <c r="P105" s="71"/>
      <c r="Q105" s="77">
        <v>0</v>
      </c>
      <c r="R105" s="71">
        <f>SUM(C105:Q105)</f>
        <v>10000</v>
      </c>
    </row>
    <row r="106" spans="1:18" ht="13.5" customHeight="1" thickBot="1">
      <c r="A106" s="91" t="s">
        <v>36</v>
      </c>
      <c r="B106" s="94"/>
      <c r="C106" s="94">
        <f>SUM(C103:C105)</f>
        <v>0</v>
      </c>
      <c r="D106" s="94">
        <v>0</v>
      </c>
      <c r="E106" s="94">
        <v>0</v>
      </c>
      <c r="F106" s="94">
        <v>0</v>
      </c>
      <c r="G106" s="94">
        <v>0</v>
      </c>
      <c r="H106" s="94">
        <f>SUM(H102:H105)</f>
        <v>105000</v>
      </c>
      <c r="I106" s="94">
        <v>0</v>
      </c>
      <c r="J106" s="94">
        <v>0</v>
      </c>
      <c r="K106" s="94">
        <v>0</v>
      </c>
      <c r="L106" s="94">
        <v>0</v>
      </c>
      <c r="M106" s="94">
        <v>0</v>
      </c>
      <c r="N106" s="94">
        <v>0</v>
      </c>
      <c r="O106" s="94">
        <v>0</v>
      </c>
      <c r="P106" s="94">
        <v>0</v>
      </c>
      <c r="Q106" s="94">
        <f>SUM(Q102:Q105)</f>
        <v>2081607</v>
      </c>
      <c r="R106" s="209">
        <f>SUM(R102:R105)</f>
        <v>2186607</v>
      </c>
    </row>
    <row r="107" spans="1:18" ht="13.5" customHeight="1" thickTop="1">
      <c r="A107" s="95" t="s">
        <v>330</v>
      </c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4"/>
      <c r="N107" s="83"/>
      <c r="O107" s="83"/>
      <c r="P107" s="84"/>
      <c r="Q107" s="83"/>
      <c r="R107" s="84"/>
    </row>
    <row r="108" spans="1:18" ht="13.5" customHeight="1">
      <c r="A108" s="95" t="s">
        <v>331</v>
      </c>
      <c r="B108" s="71"/>
      <c r="C108" s="77">
        <f>11000-11000</f>
        <v>0</v>
      </c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1"/>
      <c r="Q108" s="77"/>
      <c r="R108" s="71">
        <f>SUM(C108:Q108)</f>
        <v>0</v>
      </c>
    </row>
    <row r="109" spans="1:18" ht="13.5" customHeight="1">
      <c r="A109" s="95" t="s">
        <v>332</v>
      </c>
      <c r="B109" s="78"/>
      <c r="C109" s="77">
        <f>50000-50000</f>
        <v>0</v>
      </c>
      <c r="D109" s="77"/>
      <c r="E109" s="77"/>
      <c r="F109" s="77"/>
      <c r="G109" s="77"/>
      <c r="H109" s="77">
        <f>2031000-400800-200800-411640-673920-271440</f>
        <v>72400</v>
      </c>
      <c r="I109" s="77"/>
      <c r="J109" s="77"/>
      <c r="K109" s="77"/>
      <c r="L109" s="77"/>
      <c r="M109" s="77">
        <f>300000</f>
        <v>300000</v>
      </c>
      <c r="N109" s="77"/>
      <c r="O109" s="77"/>
      <c r="P109" s="77">
        <v>0</v>
      </c>
      <c r="Q109" s="71"/>
      <c r="R109" s="71">
        <f>SUM(C109:P109)</f>
        <v>372400</v>
      </c>
    </row>
    <row r="110" spans="1:18" ht="13.5" customHeight="1">
      <c r="A110" s="95" t="s">
        <v>430</v>
      </c>
      <c r="B110" s="78"/>
      <c r="C110" s="77"/>
      <c r="D110" s="77"/>
      <c r="E110" s="77"/>
      <c r="F110" s="77"/>
      <c r="G110" s="77"/>
      <c r="H110" s="77"/>
      <c r="I110" s="77">
        <f>180000-90000</f>
        <v>90000</v>
      </c>
      <c r="J110" s="77"/>
      <c r="K110" s="77"/>
      <c r="L110" s="77"/>
      <c r="M110" s="77"/>
      <c r="N110" s="77"/>
      <c r="O110" s="77"/>
      <c r="P110" s="77"/>
      <c r="Q110" s="71"/>
      <c r="R110" s="71">
        <f>SUM(I110)</f>
        <v>90000</v>
      </c>
    </row>
    <row r="111" spans="1:18" ht="13.5" customHeight="1">
      <c r="A111" s="91" t="s">
        <v>333</v>
      </c>
      <c r="B111" s="77"/>
      <c r="C111" s="77">
        <v>20000</v>
      </c>
      <c r="D111" s="77"/>
      <c r="E111" s="77"/>
      <c r="F111" s="77"/>
      <c r="G111" s="77"/>
      <c r="H111" s="77"/>
      <c r="I111" s="77">
        <v>0</v>
      </c>
      <c r="J111" s="77"/>
      <c r="K111" s="77"/>
      <c r="L111" s="77"/>
      <c r="M111" s="77"/>
      <c r="N111" s="77"/>
      <c r="O111" s="77"/>
      <c r="P111" s="77"/>
      <c r="Q111" s="71"/>
      <c r="R111" s="71">
        <f>SUM(C111:P111)</f>
        <v>20000</v>
      </c>
    </row>
    <row r="112" spans="1:18" ht="13.5" customHeight="1" thickBot="1">
      <c r="A112" s="91" t="s">
        <v>36</v>
      </c>
      <c r="B112" s="94"/>
      <c r="C112" s="94">
        <f>SUM(C108:C111)</f>
        <v>20000</v>
      </c>
      <c r="D112" s="94">
        <v>0</v>
      </c>
      <c r="E112" s="94">
        <v>0</v>
      </c>
      <c r="F112" s="94">
        <v>0</v>
      </c>
      <c r="G112" s="94">
        <v>0</v>
      </c>
      <c r="H112" s="94">
        <f>SUM(H109)</f>
        <v>72400</v>
      </c>
      <c r="I112" s="94">
        <f>SUM(I110:I111)</f>
        <v>90000</v>
      </c>
      <c r="J112" s="94">
        <v>0</v>
      </c>
      <c r="K112" s="94">
        <v>0</v>
      </c>
      <c r="L112" s="94">
        <v>0</v>
      </c>
      <c r="M112" s="94">
        <f>SUM(M107:M111)</f>
        <v>300000</v>
      </c>
      <c r="N112" s="94">
        <f>SUM(N109:N111)</f>
        <v>0</v>
      </c>
      <c r="O112" s="94">
        <f>SUM(O109:O111)</f>
        <v>0</v>
      </c>
      <c r="P112" s="94">
        <f>SUM(P109:P111)</f>
        <v>0</v>
      </c>
      <c r="Q112" s="94"/>
      <c r="R112" s="209">
        <f>SUM(C112:P112)</f>
        <v>482400</v>
      </c>
    </row>
    <row r="113" spans="1:18" ht="13.5" customHeight="1" thickTop="1">
      <c r="A113" s="95" t="s">
        <v>334</v>
      </c>
      <c r="B113" s="78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4"/>
      <c r="Q113" s="83"/>
      <c r="R113" s="84"/>
    </row>
    <row r="114" spans="1:18" ht="13.5" customHeight="1">
      <c r="A114" s="95" t="s">
        <v>335</v>
      </c>
      <c r="B114" s="79"/>
      <c r="C114" s="78"/>
      <c r="D114" s="78">
        <v>0</v>
      </c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68"/>
      <c r="Q114" s="78"/>
      <c r="R114" s="68">
        <f>SUM(B114:P114)</f>
        <v>0</v>
      </c>
    </row>
    <row r="115" spans="1:18" ht="13.5" customHeight="1" thickBot="1">
      <c r="A115" s="91" t="s">
        <v>36</v>
      </c>
      <c r="B115" s="94">
        <v>0</v>
      </c>
      <c r="C115" s="94">
        <v>0</v>
      </c>
      <c r="D115" s="209">
        <f>SUM(D114)</f>
        <v>0</v>
      </c>
      <c r="E115" s="94">
        <v>0</v>
      </c>
      <c r="F115" s="94">
        <v>0</v>
      </c>
      <c r="G115" s="94">
        <v>0</v>
      </c>
      <c r="H115" s="94">
        <v>0</v>
      </c>
      <c r="I115" s="94">
        <v>0</v>
      </c>
      <c r="J115" s="94">
        <v>0</v>
      </c>
      <c r="K115" s="94">
        <v>0</v>
      </c>
      <c r="L115" s="94">
        <v>0</v>
      </c>
      <c r="M115" s="94">
        <v>0</v>
      </c>
      <c r="N115" s="94">
        <v>0</v>
      </c>
      <c r="O115" s="94">
        <v>0</v>
      </c>
      <c r="P115" s="94">
        <v>0</v>
      </c>
      <c r="Q115" s="94"/>
      <c r="R115" s="209">
        <f>SUM(B115:P115)</f>
        <v>0</v>
      </c>
    </row>
    <row r="116" spans="1:18" ht="13.5" customHeight="1" thickBot="1" thickTop="1">
      <c r="A116" s="92" t="s">
        <v>37</v>
      </c>
      <c r="B116" s="202">
        <f>SUM(B13)</f>
        <v>360869</v>
      </c>
      <c r="C116" s="203">
        <f>SUM(C13+C21+C26+C30+C47+C54+C60+C76+C90+C100+C112)</f>
        <v>1985942.5399999998</v>
      </c>
      <c r="D116" s="203">
        <f>SUM(D13+D21+D26+D30+D47+D54+D60+D76+D90+D100+D106+D112+D115)</f>
        <v>20000</v>
      </c>
      <c r="E116" s="203">
        <f aca="true" t="shared" si="3" ref="E116:Q116">SUM(E13+E21+E26+E30+E47+E54+E60+E76+E90+E100+E106+E112)</f>
        <v>1009347</v>
      </c>
      <c r="F116" s="203">
        <f t="shared" si="3"/>
        <v>202000</v>
      </c>
      <c r="G116" s="203">
        <f t="shared" si="3"/>
        <v>735400.37</v>
      </c>
      <c r="H116" s="203">
        <f t="shared" si="3"/>
        <v>1021361.9199999999</v>
      </c>
      <c r="I116" s="203">
        <f t="shared" si="3"/>
        <v>174630</v>
      </c>
      <c r="J116" s="203">
        <f t="shared" si="3"/>
        <v>30625</v>
      </c>
      <c r="K116" s="203">
        <f t="shared" si="3"/>
        <v>0</v>
      </c>
      <c r="L116" s="203">
        <f t="shared" si="3"/>
        <v>618045</v>
      </c>
      <c r="M116" s="203">
        <f t="shared" si="3"/>
        <v>335000</v>
      </c>
      <c r="N116" s="203">
        <f>SUM(N13+N21+N26+N30+N47+N54+N60+N76+N90+N100+N106+N112)</f>
        <v>120000</v>
      </c>
      <c r="O116" s="203">
        <f t="shared" si="3"/>
        <v>60000</v>
      </c>
      <c r="P116" s="203">
        <f t="shared" si="3"/>
        <v>67306</v>
      </c>
      <c r="Q116" s="203">
        <f t="shared" si="3"/>
        <v>2081607</v>
      </c>
      <c r="R116" s="202">
        <f>SUM(B116:Q116)</f>
        <v>8822133.83</v>
      </c>
    </row>
    <row r="117" ht="15" thickTop="1"/>
  </sheetData>
  <sheetProtection/>
  <mergeCells count="24">
    <mergeCell ref="R42:R43"/>
    <mergeCell ref="A1:R1"/>
    <mergeCell ref="A2:R2"/>
    <mergeCell ref="A3:R3"/>
    <mergeCell ref="B5:B6"/>
    <mergeCell ref="C5:E5"/>
    <mergeCell ref="G5:H5"/>
    <mergeCell ref="I5:J5"/>
    <mergeCell ref="L5:M5"/>
    <mergeCell ref="O5:P5"/>
    <mergeCell ref="R5:R6"/>
    <mergeCell ref="B42:B43"/>
    <mergeCell ref="C42:E42"/>
    <mergeCell ref="G42:H42"/>
    <mergeCell ref="I42:J42"/>
    <mergeCell ref="L42:M42"/>
    <mergeCell ref="O42:P42"/>
    <mergeCell ref="R82:R83"/>
    <mergeCell ref="B82:B83"/>
    <mergeCell ref="C82:E82"/>
    <mergeCell ref="G82:H82"/>
    <mergeCell ref="I82:J82"/>
    <mergeCell ref="L82:M82"/>
    <mergeCell ref="O82:P82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120"/>
  <sheetViews>
    <sheetView view="pageBreakPreview" zoomScaleSheetLayoutView="100" zoomScalePageLayoutView="0" workbookViewId="0" topLeftCell="A1">
      <selection activeCell="B111" sqref="B111"/>
    </sheetView>
  </sheetViews>
  <sheetFormatPr defaultColWidth="9.140625" defaultRowHeight="12.75"/>
  <cols>
    <col min="1" max="1" width="12.421875" style="69" customWidth="1"/>
    <col min="2" max="2" width="7.7109375" style="82" customWidth="1"/>
    <col min="3" max="3" width="7.57421875" style="82" customWidth="1"/>
    <col min="4" max="4" width="7.7109375" style="82" customWidth="1"/>
    <col min="5" max="6" width="7.421875" style="82" customWidth="1"/>
    <col min="7" max="7" width="7.57421875" style="82" customWidth="1"/>
    <col min="8" max="9" width="7.421875" style="82" customWidth="1"/>
    <col min="10" max="10" width="7.28125" style="82" customWidth="1"/>
    <col min="11" max="11" width="7.140625" style="82" customWidth="1"/>
    <col min="12" max="12" width="7.421875" style="82" customWidth="1"/>
    <col min="13" max="13" width="7.140625" style="82" customWidth="1"/>
    <col min="14" max="14" width="7.421875" style="82" customWidth="1"/>
    <col min="15" max="15" width="7.57421875" style="82" customWidth="1"/>
    <col min="16" max="16" width="7.421875" style="63" customWidth="1"/>
    <col min="17" max="17" width="7.57421875" style="63" customWidth="1"/>
    <col min="18" max="18" width="9.7109375" style="63" customWidth="1"/>
    <col min="19" max="16384" width="9.140625" style="64" customWidth="1"/>
  </cols>
  <sheetData>
    <row r="1" spans="1:18" ht="16.5">
      <c r="A1" s="361" t="s">
        <v>94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</row>
    <row r="2" spans="1:18" ht="16.5">
      <c r="A2" s="361" t="s">
        <v>473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</row>
    <row r="3" spans="1:18" ht="16.5">
      <c r="A3" s="361" t="s">
        <v>474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</row>
    <row r="4" spans="1:18" ht="16.5">
      <c r="A4" s="362" t="s">
        <v>586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</row>
    <row r="5" s="125" customFormat="1" ht="14.25">
      <c r="Q5" s="200"/>
    </row>
    <row r="6" spans="1:18" s="65" customFormat="1" ht="14.25">
      <c r="A6" s="66" t="s">
        <v>118</v>
      </c>
      <c r="B6" s="357" t="s">
        <v>95</v>
      </c>
      <c r="C6" s="358" t="s">
        <v>96</v>
      </c>
      <c r="D6" s="358"/>
      <c r="E6" s="358"/>
      <c r="F6" s="88" t="s">
        <v>97</v>
      </c>
      <c r="G6" s="358" t="s">
        <v>98</v>
      </c>
      <c r="H6" s="358"/>
      <c r="I6" s="358" t="s">
        <v>99</v>
      </c>
      <c r="J6" s="358"/>
      <c r="K6" s="88" t="s">
        <v>100</v>
      </c>
      <c r="L6" s="358" t="s">
        <v>101</v>
      </c>
      <c r="M6" s="358"/>
      <c r="N6" s="358" t="s">
        <v>102</v>
      </c>
      <c r="O6" s="358"/>
      <c r="P6" s="359" t="s">
        <v>116</v>
      </c>
      <c r="Q6" s="360"/>
      <c r="R6" s="355" t="s">
        <v>19</v>
      </c>
    </row>
    <row r="7" spans="1:18" s="65" customFormat="1" ht="14.25">
      <c r="A7" s="67" t="s">
        <v>119</v>
      </c>
      <c r="B7" s="357"/>
      <c r="C7" s="88" t="s">
        <v>103</v>
      </c>
      <c r="D7" s="88" t="s">
        <v>114</v>
      </c>
      <c r="E7" s="88" t="s">
        <v>104</v>
      </c>
      <c r="F7" s="88" t="s">
        <v>105</v>
      </c>
      <c r="G7" s="88" t="s">
        <v>106</v>
      </c>
      <c r="H7" s="88" t="s">
        <v>107</v>
      </c>
      <c r="I7" s="88" t="s">
        <v>108</v>
      </c>
      <c r="J7" s="88" t="s">
        <v>109</v>
      </c>
      <c r="K7" s="88" t="s">
        <v>115</v>
      </c>
      <c r="L7" s="88" t="s">
        <v>110</v>
      </c>
      <c r="M7" s="88" t="s">
        <v>111</v>
      </c>
      <c r="N7" s="88" t="s">
        <v>112</v>
      </c>
      <c r="O7" s="88" t="s">
        <v>113</v>
      </c>
      <c r="P7" s="88" t="s">
        <v>336</v>
      </c>
      <c r="Q7" s="201" t="s">
        <v>117</v>
      </c>
      <c r="R7" s="356"/>
    </row>
    <row r="8" spans="1:18" ht="14.25">
      <c r="A8" s="89" t="s">
        <v>266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</row>
    <row r="9" spans="1:18" ht="14.25">
      <c r="A9" s="90" t="s">
        <v>267</v>
      </c>
      <c r="B9" s="68">
        <v>0</v>
      </c>
      <c r="C9" s="68"/>
      <c r="D9" s="68"/>
      <c r="E9" s="68" t="s">
        <v>264</v>
      </c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>
        <f>SUM(B9:P9)</f>
        <v>0</v>
      </c>
    </row>
    <row r="10" spans="1:18" ht="14.25">
      <c r="A10" s="91" t="s">
        <v>268</v>
      </c>
      <c r="B10" s="71">
        <v>0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>
        <f>SUM(B10:Q10)</f>
        <v>0</v>
      </c>
    </row>
    <row r="11" spans="1:18" ht="14.25">
      <c r="A11" s="91" t="s">
        <v>269</v>
      </c>
      <c r="B11" s="71">
        <v>90000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>
        <f>SUM(B11:P11)</f>
        <v>90000</v>
      </c>
    </row>
    <row r="12" spans="1:18" ht="14.25">
      <c r="A12" s="91" t="s">
        <v>270</v>
      </c>
      <c r="B12" s="71">
        <v>0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>
        <f>SUM(B12:P12)</f>
        <v>0</v>
      </c>
    </row>
    <row r="13" spans="1:18" ht="14.25">
      <c r="A13" s="91" t="s">
        <v>271</v>
      </c>
      <c r="B13" s="87">
        <v>0</v>
      </c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>
        <f>SUM(B13:Q13)</f>
        <v>0</v>
      </c>
    </row>
    <row r="14" spans="1:18" ht="14.25">
      <c r="A14" s="91" t="s">
        <v>36</v>
      </c>
      <c r="B14" s="73">
        <f>SUM(B9:B13)</f>
        <v>90000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/>
      <c r="R14" s="73">
        <f>SUM(B14:Q14)</f>
        <v>90000</v>
      </c>
    </row>
    <row r="15" spans="1:18" ht="15" thickBot="1">
      <c r="A15" s="92" t="s">
        <v>37</v>
      </c>
      <c r="B15" s="74">
        <f>210000+90000</f>
        <v>300000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199"/>
      <c r="R15" s="74">
        <f>SUM(B15:P15)</f>
        <v>300000</v>
      </c>
    </row>
    <row r="16" spans="1:18" ht="15" thickTop="1">
      <c r="A16" s="93" t="s">
        <v>272</v>
      </c>
      <c r="B16" s="75"/>
      <c r="C16" s="8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6"/>
      <c r="P16" s="75"/>
      <c r="Q16" s="75"/>
      <c r="R16" s="76"/>
    </row>
    <row r="17" spans="1:18" ht="14.25">
      <c r="A17" s="91" t="s">
        <v>273</v>
      </c>
      <c r="B17" s="77"/>
      <c r="C17" s="71">
        <v>0</v>
      </c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1"/>
      <c r="P17" s="77"/>
      <c r="Q17" s="77"/>
      <c r="R17" s="71">
        <f aca="true" t="shared" si="0" ref="R17:R24">SUM(C17:P17)</f>
        <v>0</v>
      </c>
    </row>
    <row r="18" spans="1:18" ht="14.25">
      <c r="A18" s="90" t="s">
        <v>274</v>
      </c>
      <c r="B18" s="78"/>
      <c r="C18" s="78">
        <v>0</v>
      </c>
      <c r="D18" s="78"/>
      <c r="E18" s="78">
        <v>0</v>
      </c>
      <c r="F18" s="78"/>
      <c r="G18" s="78">
        <v>0</v>
      </c>
      <c r="H18" s="78"/>
      <c r="I18" s="78"/>
      <c r="J18" s="78"/>
      <c r="K18" s="78"/>
      <c r="L18" s="78">
        <v>0</v>
      </c>
      <c r="M18" s="78"/>
      <c r="N18" s="78"/>
      <c r="O18" s="68"/>
      <c r="P18" s="78"/>
      <c r="Q18" s="78"/>
      <c r="R18" s="68">
        <f t="shared" si="0"/>
        <v>0</v>
      </c>
    </row>
    <row r="19" spans="1:18" ht="14.25">
      <c r="A19" s="91" t="s">
        <v>275</v>
      </c>
      <c r="B19" s="77"/>
      <c r="C19" s="77">
        <v>0</v>
      </c>
      <c r="D19" s="77"/>
      <c r="E19" s="77">
        <v>0</v>
      </c>
      <c r="F19" s="77"/>
      <c r="G19" s="77">
        <v>0</v>
      </c>
      <c r="H19" s="77"/>
      <c r="I19" s="77"/>
      <c r="J19" s="77"/>
      <c r="K19" s="77"/>
      <c r="L19" s="77">
        <v>0</v>
      </c>
      <c r="M19" s="77"/>
      <c r="N19" s="77"/>
      <c r="O19" s="71"/>
      <c r="P19" s="77"/>
      <c r="Q19" s="77"/>
      <c r="R19" s="71">
        <f t="shared" si="0"/>
        <v>0</v>
      </c>
    </row>
    <row r="20" spans="1:18" ht="14.25">
      <c r="A20" s="91" t="s">
        <v>276</v>
      </c>
      <c r="B20" s="77"/>
      <c r="C20" s="71">
        <v>0</v>
      </c>
      <c r="D20" s="77"/>
      <c r="E20" s="77">
        <v>0</v>
      </c>
      <c r="F20" s="77"/>
      <c r="G20" s="77"/>
      <c r="H20" s="77"/>
      <c r="I20" s="77"/>
      <c r="J20" s="77"/>
      <c r="K20" s="77"/>
      <c r="L20" s="77">
        <v>0</v>
      </c>
      <c r="M20" s="77"/>
      <c r="N20" s="77"/>
      <c r="O20" s="71"/>
      <c r="P20" s="77"/>
      <c r="Q20" s="77"/>
      <c r="R20" s="71">
        <f t="shared" si="0"/>
        <v>0</v>
      </c>
    </row>
    <row r="21" spans="1:18" ht="14.25">
      <c r="A21" s="90" t="s">
        <v>277</v>
      </c>
      <c r="B21" s="78"/>
      <c r="C21" s="78">
        <v>0</v>
      </c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68"/>
      <c r="P21" s="78"/>
      <c r="Q21" s="78"/>
      <c r="R21" s="68">
        <f t="shared" si="0"/>
        <v>0</v>
      </c>
    </row>
    <row r="22" spans="1:18" ht="14.25">
      <c r="A22" s="91" t="s">
        <v>278</v>
      </c>
      <c r="B22" s="77"/>
      <c r="C22" s="71">
        <v>0</v>
      </c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1"/>
      <c r="P22" s="77"/>
      <c r="Q22" s="77"/>
      <c r="R22" s="71">
        <f t="shared" si="0"/>
        <v>0</v>
      </c>
    </row>
    <row r="23" spans="1:18" ht="14.25">
      <c r="A23" s="91" t="s">
        <v>36</v>
      </c>
      <c r="B23" s="62"/>
      <c r="C23" s="80">
        <v>0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/>
      <c r="R23" s="73">
        <f t="shared" si="0"/>
        <v>0</v>
      </c>
    </row>
    <row r="24" spans="1:18" ht="15" thickBot="1">
      <c r="A24" s="92" t="s">
        <v>37</v>
      </c>
      <c r="B24" s="94"/>
      <c r="C24" s="81">
        <v>0</v>
      </c>
      <c r="D24" s="94">
        <v>0</v>
      </c>
      <c r="E24" s="94">
        <v>0</v>
      </c>
      <c r="F24" s="94">
        <v>0</v>
      </c>
      <c r="G24" s="94">
        <v>0</v>
      </c>
      <c r="H24" s="94">
        <v>0</v>
      </c>
      <c r="I24" s="94">
        <v>0</v>
      </c>
      <c r="J24" s="94">
        <v>0</v>
      </c>
      <c r="K24" s="94">
        <v>0</v>
      </c>
      <c r="L24" s="94">
        <v>0</v>
      </c>
      <c r="M24" s="94">
        <v>0</v>
      </c>
      <c r="N24" s="94">
        <v>0</v>
      </c>
      <c r="O24" s="94">
        <v>0</v>
      </c>
      <c r="P24" s="94">
        <v>0</v>
      </c>
      <c r="Q24" s="94"/>
      <c r="R24" s="74">
        <f t="shared" si="0"/>
        <v>0</v>
      </c>
    </row>
    <row r="25" spans="1:18" ht="15" thickTop="1">
      <c r="A25" s="90" t="s">
        <v>279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84"/>
      <c r="P25" s="78"/>
      <c r="Q25" s="78"/>
      <c r="R25" s="68"/>
    </row>
    <row r="26" spans="1:18" ht="14.25">
      <c r="A26" s="91" t="s">
        <v>280</v>
      </c>
      <c r="B26" s="77"/>
      <c r="C26" s="77">
        <v>0</v>
      </c>
      <c r="D26" s="77"/>
      <c r="E26" s="77">
        <v>0</v>
      </c>
      <c r="F26" s="77"/>
      <c r="G26" s="77">
        <v>0</v>
      </c>
      <c r="H26" s="77"/>
      <c r="I26" s="77"/>
      <c r="J26" s="77"/>
      <c r="K26" s="77"/>
      <c r="L26" s="77">
        <v>0</v>
      </c>
      <c r="M26" s="77"/>
      <c r="N26" s="77"/>
      <c r="O26" s="71"/>
      <c r="P26" s="77"/>
      <c r="Q26" s="77"/>
      <c r="R26" s="71">
        <f>SUM(C26:P26)</f>
        <v>0</v>
      </c>
    </row>
    <row r="27" spans="1:18" ht="14.25">
      <c r="A27" s="91" t="s">
        <v>281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1"/>
      <c r="P27" s="77"/>
      <c r="Q27" s="77"/>
      <c r="R27" s="71">
        <f>SUM(C27:P27)</f>
        <v>0</v>
      </c>
    </row>
    <row r="28" spans="1:18" ht="14.25">
      <c r="A28" s="90" t="s">
        <v>282</v>
      </c>
      <c r="B28" s="78"/>
      <c r="C28" s="78">
        <v>0</v>
      </c>
      <c r="D28" s="78"/>
      <c r="E28" s="78">
        <v>0</v>
      </c>
      <c r="F28" s="78"/>
      <c r="G28" s="78">
        <v>0</v>
      </c>
      <c r="H28" s="78" t="s">
        <v>264</v>
      </c>
      <c r="I28" s="78"/>
      <c r="J28" s="78"/>
      <c r="K28" s="78"/>
      <c r="L28" s="78">
        <v>0</v>
      </c>
      <c r="M28" s="78"/>
      <c r="N28" s="78"/>
      <c r="O28" s="68"/>
      <c r="P28" s="78"/>
      <c r="Q28" s="78"/>
      <c r="R28" s="68"/>
    </row>
    <row r="29" spans="1:18" ht="14.25">
      <c r="A29" s="91" t="s">
        <v>36</v>
      </c>
      <c r="B29" s="62"/>
      <c r="C29" s="80">
        <v>0</v>
      </c>
      <c r="D29" s="62">
        <v>0</v>
      </c>
      <c r="E29" s="62">
        <v>0</v>
      </c>
      <c r="F29" s="62">
        <v>0</v>
      </c>
      <c r="G29" s="62">
        <f>SUM(G28)</f>
        <v>0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62">
        <v>0</v>
      </c>
      <c r="O29" s="62">
        <v>0</v>
      </c>
      <c r="P29" s="62">
        <v>0</v>
      </c>
      <c r="Q29" s="62"/>
      <c r="R29" s="62">
        <f>SUM(C29:P29)</f>
        <v>0</v>
      </c>
    </row>
    <row r="30" spans="1:18" ht="15" thickBot="1">
      <c r="A30" s="92" t="s">
        <v>37</v>
      </c>
      <c r="B30" s="94"/>
      <c r="C30" s="81">
        <v>0</v>
      </c>
      <c r="D30" s="94">
        <v>0</v>
      </c>
      <c r="E30" s="94">
        <v>0</v>
      </c>
      <c r="F30" s="94">
        <v>0</v>
      </c>
      <c r="G30" s="94">
        <f>20000</f>
        <v>20000</v>
      </c>
      <c r="H30" s="94">
        <v>0</v>
      </c>
      <c r="I30" s="94">
        <v>0</v>
      </c>
      <c r="J30" s="94">
        <v>0</v>
      </c>
      <c r="K30" s="94">
        <v>0</v>
      </c>
      <c r="L30" s="94">
        <v>0</v>
      </c>
      <c r="M30" s="94">
        <v>0</v>
      </c>
      <c r="N30" s="94">
        <v>0</v>
      </c>
      <c r="O30" s="94">
        <v>0</v>
      </c>
      <c r="P30" s="94">
        <v>0</v>
      </c>
      <c r="Q30" s="94"/>
      <c r="R30" s="94">
        <f>SUM(C30:P30)</f>
        <v>20000</v>
      </c>
    </row>
    <row r="31" spans="1:18" ht="15" thickTop="1">
      <c r="A31" s="90" t="s">
        <v>279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68"/>
      <c r="P31" s="78"/>
      <c r="Q31" s="78"/>
      <c r="R31" s="85"/>
    </row>
    <row r="32" spans="1:18" ht="14.25">
      <c r="A32" s="91" t="s">
        <v>283</v>
      </c>
      <c r="B32" s="77"/>
      <c r="C32" s="77">
        <v>0</v>
      </c>
      <c r="D32" s="77"/>
      <c r="E32" s="77">
        <v>0</v>
      </c>
      <c r="F32" s="77"/>
      <c r="G32" s="77">
        <v>0</v>
      </c>
      <c r="H32" s="77"/>
      <c r="I32" s="77">
        <v>0</v>
      </c>
      <c r="J32" s="77"/>
      <c r="K32" s="77"/>
      <c r="L32" s="77">
        <v>0</v>
      </c>
      <c r="M32" s="77"/>
      <c r="N32" s="77"/>
      <c r="O32" s="71"/>
      <c r="P32" s="77"/>
      <c r="Q32" s="77"/>
      <c r="R32" s="71">
        <f>SUM(C32:P32)</f>
        <v>0</v>
      </c>
    </row>
    <row r="33" spans="1:18" ht="14.25">
      <c r="A33" s="90" t="s">
        <v>284</v>
      </c>
      <c r="B33" s="79"/>
      <c r="C33" s="78">
        <v>0</v>
      </c>
      <c r="D33" s="78"/>
      <c r="E33" s="78">
        <v>0</v>
      </c>
      <c r="F33" s="78"/>
      <c r="G33" s="78">
        <v>0</v>
      </c>
      <c r="H33" s="78"/>
      <c r="I33" s="78">
        <v>0</v>
      </c>
      <c r="J33" s="78"/>
      <c r="K33" s="78"/>
      <c r="L33" s="78">
        <v>0</v>
      </c>
      <c r="M33" s="78"/>
      <c r="N33" s="78"/>
      <c r="O33" s="68"/>
      <c r="P33" s="78"/>
      <c r="Q33" s="78"/>
      <c r="R33" s="68">
        <f>SUM(C33:P33)</f>
        <v>0</v>
      </c>
    </row>
    <row r="34" spans="1:18" ht="14.25">
      <c r="A34" s="91" t="s">
        <v>36</v>
      </c>
      <c r="B34" s="62"/>
      <c r="C34" s="80">
        <v>0</v>
      </c>
      <c r="D34" s="62">
        <v>0</v>
      </c>
      <c r="E34" s="62">
        <v>0</v>
      </c>
      <c r="F34" s="62">
        <v>0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  <c r="Q34" s="62"/>
      <c r="R34" s="73">
        <f>SUM(C34:P34)</f>
        <v>0</v>
      </c>
    </row>
    <row r="35" spans="1:18" ht="15" thickBot="1">
      <c r="A35" s="92" t="s">
        <v>37</v>
      </c>
      <c r="B35" s="94"/>
      <c r="C35" s="7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94">
        <v>0</v>
      </c>
      <c r="L35" s="94">
        <v>0</v>
      </c>
      <c r="M35" s="94">
        <v>0</v>
      </c>
      <c r="N35" s="94">
        <v>0</v>
      </c>
      <c r="O35" s="94">
        <v>0</v>
      </c>
      <c r="P35" s="94">
        <v>0</v>
      </c>
      <c r="Q35" s="94"/>
      <c r="R35" s="74">
        <f>SUM(C35:P35)</f>
        <v>0</v>
      </c>
    </row>
    <row r="36" ht="15" thickTop="1">
      <c r="C36" s="189"/>
    </row>
    <row r="42" spans="1:18" s="65" customFormat="1" ht="14.25">
      <c r="A42" s="66" t="s">
        <v>118</v>
      </c>
      <c r="B42" s="357" t="s">
        <v>95</v>
      </c>
      <c r="C42" s="358" t="s">
        <v>96</v>
      </c>
      <c r="D42" s="358"/>
      <c r="E42" s="358"/>
      <c r="F42" s="88" t="s">
        <v>97</v>
      </c>
      <c r="G42" s="358" t="s">
        <v>98</v>
      </c>
      <c r="H42" s="358"/>
      <c r="I42" s="358" t="s">
        <v>99</v>
      </c>
      <c r="J42" s="358"/>
      <c r="K42" s="88" t="s">
        <v>100</v>
      </c>
      <c r="L42" s="358" t="s">
        <v>101</v>
      </c>
      <c r="M42" s="358"/>
      <c r="N42" s="358" t="s">
        <v>102</v>
      </c>
      <c r="O42" s="358"/>
      <c r="P42" s="359" t="s">
        <v>116</v>
      </c>
      <c r="Q42" s="360"/>
      <c r="R42" s="355" t="s">
        <v>19</v>
      </c>
    </row>
    <row r="43" spans="1:18" s="65" customFormat="1" ht="14.25">
      <c r="A43" s="67" t="s">
        <v>119</v>
      </c>
      <c r="B43" s="357"/>
      <c r="C43" s="88" t="s">
        <v>103</v>
      </c>
      <c r="D43" s="88" t="s">
        <v>114</v>
      </c>
      <c r="E43" s="88" t="s">
        <v>104</v>
      </c>
      <c r="F43" s="88" t="s">
        <v>105</v>
      </c>
      <c r="G43" s="88" t="s">
        <v>106</v>
      </c>
      <c r="H43" s="88" t="s">
        <v>107</v>
      </c>
      <c r="I43" s="88" t="s">
        <v>108</v>
      </c>
      <c r="J43" s="88" t="s">
        <v>109</v>
      </c>
      <c r="K43" s="88" t="s">
        <v>115</v>
      </c>
      <c r="L43" s="88" t="s">
        <v>110</v>
      </c>
      <c r="M43" s="88" t="s">
        <v>111</v>
      </c>
      <c r="N43" s="88" t="s">
        <v>112</v>
      </c>
      <c r="O43" s="88" t="s">
        <v>113</v>
      </c>
      <c r="P43" s="88" t="s">
        <v>336</v>
      </c>
      <c r="Q43" s="201" t="s">
        <v>117</v>
      </c>
      <c r="R43" s="356"/>
    </row>
    <row r="44" spans="1:18" ht="14.25">
      <c r="A44" s="93" t="s">
        <v>279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</row>
    <row r="45" spans="1:18" ht="14.25">
      <c r="A45" s="91" t="s">
        <v>285</v>
      </c>
      <c r="B45" s="71"/>
      <c r="C45" s="71">
        <v>0</v>
      </c>
      <c r="D45" s="71"/>
      <c r="E45" s="71">
        <v>0</v>
      </c>
      <c r="F45" s="71"/>
      <c r="G45" s="71">
        <v>0</v>
      </c>
      <c r="H45" s="71">
        <v>0</v>
      </c>
      <c r="I45" s="71">
        <v>0</v>
      </c>
      <c r="J45" s="71"/>
      <c r="K45" s="71"/>
      <c r="L45" s="71">
        <v>0</v>
      </c>
      <c r="M45" s="71"/>
      <c r="N45" s="71"/>
      <c r="O45" s="71"/>
      <c r="P45" s="71"/>
      <c r="Q45" s="71"/>
      <c r="R45" s="71">
        <f>SUM(C45:P45)</f>
        <v>0</v>
      </c>
    </row>
    <row r="46" spans="1:18" ht="14.25">
      <c r="A46" s="95" t="s">
        <v>286</v>
      </c>
      <c r="B46" s="68"/>
      <c r="C46" s="68">
        <v>0</v>
      </c>
      <c r="D46" s="68"/>
      <c r="E46" s="68">
        <v>0</v>
      </c>
      <c r="F46" s="68"/>
      <c r="G46" s="68"/>
      <c r="H46" s="68"/>
      <c r="I46" s="68"/>
      <c r="J46" s="68"/>
      <c r="K46" s="68"/>
      <c r="L46" s="68">
        <v>0</v>
      </c>
      <c r="M46" s="68"/>
      <c r="N46" s="68"/>
      <c r="O46" s="68"/>
      <c r="P46" s="68"/>
      <c r="Q46" s="68"/>
      <c r="R46" s="68">
        <f>SUM(C46:P46)</f>
        <v>0</v>
      </c>
    </row>
    <row r="47" spans="1:18" ht="14.25">
      <c r="A47" s="91" t="s">
        <v>36</v>
      </c>
      <c r="B47" s="62"/>
      <c r="C47" s="73">
        <f>SUM(C45:C46)</f>
        <v>0</v>
      </c>
      <c r="D47" s="62">
        <v>0</v>
      </c>
      <c r="E47" s="62">
        <v>0</v>
      </c>
      <c r="F47" s="62">
        <v>0</v>
      </c>
      <c r="G47" s="62">
        <f>SUM(G45)</f>
        <v>0</v>
      </c>
      <c r="H47" s="62">
        <f>SUM(H45:H46)</f>
        <v>0</v>
      </c>
      <c r="I47" s="62">
        <v>0</v>
      </c>
      <c r="J47" s="62">
        <v>0</v>
      </c>
      <c r="K47" s="62">
        <v>0</v>
      </c>
      <c r="L47" s="62">
        <v>0</v>
      </c>
      <c r="M47" s="62">
        <v>0</v>
      </c>
      <c r="N47" s="62">
        <v>0</v>
      </c>
      <c r="O47" s="62">
        <v>0</v>
      </c>
      <c r="P47" s="62">
        <v>0</v>
      </c>
      <c r="Q47" s="62"/>
      <c r="R47" s="62">
        <f>SUM(C47:P47)</f>
        <v>0</v>
      </c>
    </row>
    <row r="48" spans="1:18" ht="15" thickBot="1">
      <c r="A48" s="92" t="s">
        <v>37</v>
      </c>
      <c r="B48" s="94"/>
      <c r="C48" s="74">
        <f>70000</f>
        <v>70000</v>
      </c>
      <c r="D48" s="62">
        <v>0</v>
      </c>
      <c r="E48" s="62">
        <v>0</v>
      </c>
      <c r="F48" s="62">
        <v>0</v>
      </c>
      <c r="G48" s="62">
        <f>-150000</f>
        <v>-150000</v>
      </c>
      <c r="H48" s="62">
        <f>70000</f>
        <v>70000</v>
      </c>
      <c r="I48" s="62">
        <v>0</v>
      </c>
      <c r="J48" s="62">
        <v>0</v>
      </c>
      <c r="K48" s="62">
        <v>0</v>
      </c>
      <c r="L48" s="62">
        <v>0</v>
      </c>
      <c r="M48" s="62">
        <v>0</v>
      </c>
      <c r="N48" s="62">
        <v>0</v>
      </c>
      <c r="O48" s="62">
        <v>0</v>
      </c>
      <c r="P48" s="62">
        <v>0</v>
      </c>
      <c r="Q48" s="62"/>
      <c r="R48" s="62">
        <f>SUM(C48:P48)</f>
        <v>-10000</v>
      </c>
    </row>
    <row r="49" spans="1:18" ht="15" thickTop="1">
      <c r="A49" s="93" t="s">
        <v>287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6"/>
      <c r="P49" s="75"/>
      <c r="Q49" s="75"/>
      <c r="R49" s="76"/>
    </row>
    <row r="50" spans="1:18" ht="14.25">
      <c r="A50" s="91" t="s">
        <v>288</v>
      </c>
      <c r="B50" s="77"/>
      <c r="C50" s="77">
        <v>0</v>
      </c>
      <c r="D50" s="77"/>
      <c r="E50" s="77">
        <f>-20000-10000</f>
        <v>-30000</v>
      </c>
      <c r="F50" s="77"/>
      <c r="G50" s="77">
        <v>-10000</v>
      </c>
      <c r="H50" s="77"/>
      <c r="I50" s="77">
        <v>0</v>
      </c>
      <c r="J50" s="77"/>
      <c r="K50" s="77"/>
      <c r="L50" s="77">
        <v>-90000</v>
      </c>
      <c r="M50" s="77">
        <v>-300000</v>
      </c>
      <c r="N50" s="77"/>
      <c r="O50" s="71"/>
      <c r="P50" s="77"/>
      <c r="Q50" s="77"/>
      <c r="R50" s="71">
        <f aca="true" t="shared" si="1" ref="R50:R56">SUM(C50:P50)</f>
        <v>-430000</v>
      </c>
    </row>
    <row r="51" spans="1:18" ht="14.25">
      <c r="A51" s="90" t="s">
        <v>289</v>
      </c>
      <c r="B51" s="78"/>
      <c r="C51" s="78">
        <v>0</v>
      </c>
      <c r="D51" s="78"/>
      <c r="E51" s="78">
        <v>0</v>
      </c>
      <c r="F51" s="78"/>
      <c r="G51" s="78"/>
      <c r="H51" s="78"/>
      <c r="I51" s="78"/>
      <c r="J51" s="78"/>
      <c r="K51" s="78"/>
      <c r="L51" s="78"/>
      <c r="M51" s="78"/>
      <c r="N51" s="78"/>
      <c r="O51" s="68"/>
      <c r="P51" s="78"/>
      <c r="Q51" s="78"/>
      <c r="R51" s="68">
        <f t="shared" si="1"/>
        <v>0</v>
      </c>
    </row>
    <row r="52" spans="1:18" ht="14.25">
      <c r="A52" s="91" t="s">
        <v>290</v>
      </c>
      <c r="B52" s="77"/>
      <c r="C52" s="77">
        <v>-45000</v>
      </c>
      <c r="D52" s="77"/>
      <c r="E52" s="77">
        <v>0</v>
      </c>
      <c r="F52" s="77"/>
      <c r="G52" s="77">
        <v>10000</v>
      </c>
      <c r="H52" s="77"/>
      <c r="I52" s="77"/>
      <c r="J52" s="77"/>
      <c r="K52" s="77"/>
      <c r="L52" s="77">
        <v>0</v>
      </c>
      <c r="M52" s="77"/>
      <c r="N52" s="77"/>
      <c r="O52" s="71"/>
      <c r="P52" s="77"/>
      <c r="Q52" s="77"/>
      <c r="R52" s="71">
        <f>SUM(C52:Q52)</f>
        <v>-35000</v>
      </c>
    </row>
    <row r="53" spans="1:18" ht="14.25">
      <c r="A53" s="91" t="s">
        <v>291</v>
      </c>
      <c r="B53" s="77"/>
      <c r="C53" s="77">
        <v>0</v>
      </c>
      <c r="D53" s="77"/>
      <c r="E53" s="77"/>
      <c r="F53" s="77">
        <v>0</v>
      </c>
      <c r="G53" s="77">
        <v>0</v>
      </c>
      <c r="H53" s="77"/>
      <c r="I53" s="77"/>
      <c r="J53" s="77"/>
      <c r="K53" s="77"/>
      <c r="L53" s="77">
        <v>0</v>
      </c>
      <c r="M53" s="77"/>
      <c r="N53" s="192"/>
      <c r="O53" s="71"/>
      <c r="P53" s="77"/>
      <c r="Q53" s="77"/>
      <c r="R53" s="71">
        <f t="shared" si="1"/>
        <v>0</v>
      </c>
    </row>
    <row r="54" spans="1:18" ht="14.25">
      <c r="A54" s="126" t="s">
        <v>292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193"/>
      <c r="O54" s="72"/>
      <c r="P54" s="79"/>
      <c r="Q54" s="79"/>
      <c r="R54" s="87"/>
    </row>
    <row r="55" spans="1:18" ht="14.25">
      <c r="A55" s="91" t="s">
        <v>36</v>
      </c>
      <c r="B55" s="62"/>
      <c r="C55" s="80">
        <f>SUM(C50:C54)</f>
        <v>-45000</v>
      </c>
      <c r="D55" s="62">
        <v>0</v>
      </c>
      <c r="E55" s="62">
        <f>SUM(E50:E54)</f>
        <v>-30000</v>
      </c>
      <c r="F55" s="62">
        <v>0</v>
      </c>
      <c r="G55" s="62">
        <f>SUM(G50+G52)</f>
        <v>0</v>
      </c>
      <c r="H55" s="62">
        <v>0</v>
      </c>
      <c r="I55" s="62">
        <f>SUM(I50)</f>
        <v>0</v>
      </c>
      <c r="J55" s="62">
        <v>0</v>
      </c>
      <c r="K55" s="62">
        <v>0</v>
      </c>
      <c r="L55" s="62">
        <f>SUM(L50)</f>
        <v>-90000</v>
      </c>
      <c r="M55" s="62">
        <f>SUM(M50:M53)</f>
        <v>-300000</v>
      </c>
      <c r="N55" s="62">
        <v>0</v>
      </c>
      <c r="O55" s="62">
        <v>0</v>
      </c>
      <c r="P55" s="62">
        <v>0</v>
      </c>
      <c r="Q55" s="62"/>
      <c r="R55" s="73">
        <f t="shared" si="1"/>
        <v>-465000</v>
      </c>
    </row>
    <row r="56" spans="1:18" ht="15" thickBot="1">
      <c r="A56" s="92" t="s">
        <v>37</v>
      </c>
      <c r="B56" s="94"/>
      <c r="C56" s="81">
        <f>-70000+-240000+-45000</f>
        <v>-355000</v>
      </c>
      <c r="D56" s="94">
        <v>0</v>
      </c>
      <c r="E56" s="94">
        <f>-30000+-40000+-30000</f>
        <v>-100000</v>
      </c>
      <c r="F56" s="94">
        <v>0</v>
      </c>
      <c r="G56" s="94">
        <f>-20000</f>
        <v>-20000</v>
      </c>
      <c r="H56" s="94">
        <v>0</v>
      </c>
      <c r="I56" s="94">
        <f>-20000</f>
        <v>-20000</v>
      </c>
      <c r="J56" s="94">
        <v>0</v>
      </c>
      <c r="K56" s="94">
        <v>0</v>
      </c>
      <c r="L56" s="94">
        <f>-90000</f>
        <v>-90000</v>
      </c>
      <c r="M56" s="94">
        <f>-300000</f>
        <v>-300000</v>
      </c>
      <c r="N56" s="94">
        <v>0</v>
      </c>
      <c r="O56" s="62">
        <v>0</v>
      </c>
      <c r="P56" s="94">
        <v>0</v>
      </c>
      <c r="Q56" s="94"/>
      <c r="R56" s="74">
        <f t="shared" si="1"/>
        <v>-885000</v>
      </c>
    </row>
    <row r="57" spans="1:18" ht="15" thickTop="1">
      <c r="A57" s="95" t="s">
        <v>293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4"/>
      <c r="O57" s="85"/>
      <c r="P57" s="84"/>
      <c r="Q57" s="84"/>
      <c r="R57" s="85"/>
    </row>
    <row r="58" spans="1:18" ht="14.25">
      <c r="A58" s="95" t="s">
        <v>294</v>
      </c>
      <c r="B58" s="225" t="s">
        <v>457</v>
      </c>
      <c r="C58" s="83">
        <v>45000</v>
      </c>
      <c r="D58" s="83"/>
      <c r="E58" s="83">
        <v>0</v>
      </c>
      <c r="F58" s="83"/>
      <c r="G58" s="83">
        <v>0</v>
      </c>
      <c r="H58" s="83"/>
      <c r="I58" s="83"/>
      <c r="J58" s="83"/>
      <c r="K58" s="83"/>
      <c r="L58" s="83"/>
      <c r="M58" s="83"/>
      <c r="N58" s="83"/>
      <c r="O58" s="84"/>
      <c r="P58" s="83"/>
      <c r="Q58" s="83"/>
      <c r="R58" s="84">
        <f>SUM(C58:P58)</f>
        <v>45000</v>
      </c>
    </row>
    <row r="59" spans="1:18" ht="14.25">
      <c r="A59" s="91" t="s">
        <v>295</v>
      </c>
      <c r="B59" s="77"/>
      <c r="C59" s="77">
        <v>0</v>
      </c>
      <c r="D59" s="77"/>
      <c r="E59" s="77" t="s">
        <v>472</v>
      </c>
      <c r="F59" s="77"/>
      <c r="G59" s="77"/>
      <c r="H59" s="77"/>
      <c r="I59" s="77"/>
      <c r="J59" s="77"/>
      <c r="K59" s="77"/>
      <c r="L59" s="77"/>
      <c r="M59" s="77"/>
      <c r="N59" s="77"/>
      <c r="O59" s="71"/>
      <c r="P59" s="77"/>
      <c r="Q59" s="77"/>
      <c r="R59" s="71">
        <f>SUM(C59:Q59)</f>
        <v>0</v>
      </c>
    </row>
    <row r="60" spans="1:18" ht="14.25">
      <c r="A60" s="95" t="s">
        <v>296</v>
      </c>
      <c r="B60" s="77"/>
      <c r="C60" s="77">
        <f>-30000+30000</f>
        <v>0</v>
      </c>
      <c r="D60" s="77">
        <v>0</v>
      </c>
      <c r="E60" s="77">
        <v>0</v>
      </c>
      <c r="F60" s="77">
        <v>0</v>
      </c>
      <c r="G60" s="77">
        <v>0</v>
      </c>
      <c r="H60" s="77">
        <v>0</v>
      </c>
      <c r="I60" s="77"/>
      <c r="J60" s="77">
        <v>0</v>
      </c>
      <c r="K60" s="77"/>
      <c r="L60" s="77"/>
      <c r="M60" s="77"/>
      <c r="N60" s="77">
        <v>0</v>
      </c>
      <c r="O60" s="71">
        <v>0</v>
      </c>
      <c r="P60" s="77"/>
      <c r="Q60" s="77"/>
      <c r="R60" s="71">
        <f>SUM(C60:Q60)</f>
        <v>0</v>
      </c>
    </row>
    <row r="61" spans="1:18" ht="14.25">
      <c r="A61" s="95" t="s">
        <v>297</v>
      </c>
      <c r="B61" s="77"/>
      <c r="C61" s="77">
        <v>0</v>
      </c>
      <c r="D61" s="77"/>
      <c r="E61" s="77">
        <v>0</v>
      </c>
      <c r="F61" s="77"/>
      <c r="G61" s="77">
        <v>0</v>
      </c>
      <c r="H61" s="77"/>
      <c r="I61" s="77"/>
      <c r="J61" s="77"/>
      <c r="K61" s="77"/>
      <c r="L61" s="77">
        <v>0</v>
      </c>
      <c r="M61" s="77"/>
      <c r="N61" s="77"/>
      <c r="O61" s="71"/>
      <c r="P61" s="77"/>
      <c r="Q61" s="77"/>
      <c r="R61" s="71">
        <f>SUM(C61:Q61)</f>
        <v>0</v>
      </c>
    </row>
    <row r="62" spans="1:18" ht="14.25">
      <c r="A62" s="91" t="s">
        <v>36</v>
      </c>
      <c r="B62" s="62"/>
      <c r="C62" s="80">
        <f>SUM(C58:C61)</f>
        <v>45000</v>
      </c>
      <c r="D62" s="62">
        <f>SUM(D60:D61)</f>
        <v>0</v>
      </c>
      <c r="E62" s="62">
        <f>SUM(E60:E61)</f>
        <v>0</v>
      </c>
      <c r="F62" s="62">
        <f>SUM(F60)</f>
        <v>0</v>
      </c>
      <c r="G62" s="62">
        <f>SUM(G58)</f>
        <v>0</v>
      </c>
      <c r="H62" s="62">
        <v>0</v>
      </c>
      <c r="I62" s="62">
        <v>0</v>
      </c>
      <c r="J62" s="62">
        <f>SUM(J60)</f>
        <v>0</v>
      </c>
      <c r="K62" s="62">
        <v>0</v>
      </c>
      <c r="L62" s="62">
        <f>SUM(L58:L61)</f>
        <v>0</v>
      </c>
      <c r="M62" s="62">
        <v>0</v>
      </c>
      <c r="N62" s="62">
        <v>0</v>
      </c>
      <c r="O62" s="62">
        <f>SUM(O58:O61)</f>
        <v>0</v>
      </c>
      <c r="P62" s="62">
        <v>0</v>
      </c>
      <c r="Q62" s="62"/>
      <c r="R62" s="73">
        <f>SUM(C62:P62)</f>
        <v>45000</v>
      </c>
    </row>
    <row r="63" spans="1:18" ht="15" thickBot="1">
      <c r="A63" s="92" t="s">
        <v>37</v>
      </c>
      <c r="B63" s="94"/>
      <c r="C63" s="81">
        <f>101900+45000</f>
        <v>146900</v>
      </c>
      <c r="D63" s="94">
        <f>-30000</f>
        <v>-30000</v>
      </c>
      <c r="E63" s="94">
        <v>0</v>
      </c>
      <c r="F63" s="94">
        <v>0</v>
      </c>
      <c r="G63" s="94">
        <f>80000</f>
        <v>80000</v>
      </c>
      <c r="H63" s="94">
        <v>0</v>
      </c>
      <c r="I63" s="94">
        <v>0</v>
      </c>
      <c r="J63" s="94">
        <f>-21900</f>
        <v>-21900</v>
      </c>
      <c r="K63" s="94">
        <v>0</v>
      </c>
      <c r="L63" s="94">
        <f>SUM(L62)</f>
        <v>0</v>
      </c>
      <c r="M63" s="94">
        <v>0</v>
      </c>
      <c r="N63" s="94">
        <v>0</v>
      </c>
      <c r="O63" s="94">
        <f>-50000</f>
        <v>-50000</v>
      </c>
      <c r="P63" s="94">
        <v>0</v>
      </c>
      <c r="Q63" s="94"/>
      <c r="R63" s="74">
        <f>SUM(C63:Q63)</f>
        <v>125000</v>
      </c>
    </row>
    <row r="64" spans="1:18" ht="15" thickTop="1">
      <c r="A64" s="95" t="s">
        <v>298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4"/>
      <c r="O64" s="85"/>
      <c r="P64" s="84"/>
      <c r="Q64" s="84"/>
      <c r="R64" s="85"/>
    </row>
    <row r="65" spans="1:18" ht="14.25">
      <c r="A65" s="95" t="s">
        <v>299</v>
      </c>
      <c r="B65" s="83"/>
      <c r="C65" s="83">
        <v>0</v>
      </c>
      <c r="D65" s="83"/>
      <c r="E65" s="83">
        <v>20000</v>
      </c>
      <c r="F65" s="83"/>
      <c r="G65" s="83">
        <v>0</v>
      </c>
      <c r="H65" s="83"/>
      <c r="I65" s="83"/>
      <c r="J65" s="83"/>
      <c r="K65" s="83"/>
      <c r="L65" s="83"/>
      <c r="M65" s="83"/>
      <c r="N65" s="83"/>
      <c r="O65" s="84"/>
      <c r="P65" s="83"/>
      <c r="Q65" s="83"/>
      <c r="R65" s="84">
        <f>SUM(C65:P65)</f>
        <v>20000</v>
      </c>
    </row>
    <row r="66" spans="1:18" ht="14.25">
      <c r="A66" s="91" t="s">
        <v>300</v>
      </c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1"/>
      <c r="P66" s="77"/>
      <c r="Q66" s="77"/>
      <c r="R66" s="71"/>
    </row>
    <row r="67" spans="1:18" ht="14.25">
      <c r="A67" s="95" t="s">
        <v>301</v>
      </c>
      <c r="B67" s="77"/>
      <c r="C67" s="77"/>
      <c r="D67" s="77"/>
      <c r="E67" s="77">
        <v>0</v>
      </c>
      <c r="F67" s="77"/>
      <c r="G67" s="77"/>
      <c r="H67" s="77">
        <v>0</v>
      </c>
      <c r="I67" s="77"/>
      <c r="J67" s="77"/>
      <c r="K67" s="77"/>
      <c r="L67" s="77"/>
      <c r="M67" s="77"/>
      <c r="N67" s="77"/>
      <c r="O67" s="71"/>
      <c r="P67" s="77"/>
      <c r="Q67" s="77"/>
      <c r="R67" s="71">
        <f>SUM(C67:P67)</f>
        <v>0</v>
      </c>
    </row>
    <row r="68" spans="1:18" ht="14.25">
      <c r="A68" s="95" t="s">
        <v>302</v>
      </c>
      <c r="B68" s="77"/>
      <c r="C68" s="77"/>
      <c r="D68" s="77"/>
      <c r="E68" s="77"/>
      <c r="F68" s="77"/>
      <c r="G68" s="77"/>
      <c r="H68" s="77">
        <v>0</v>
      </c>
      <c r="I68" s="77"/>
      <c r="J68" s="77"/>
      <c r="K68" s="77"/>
      <c r="L68" s="77"/>
      <c r="M68" s="77"/>
      <c r="N68" s="77"/>
      <c r="O68" s="71"/>
      <c r="P68" s="77"/>
      <c r="Q68" s="77"/>
      <c r="R68" s="71">
        <f>SUM(H68:Q68)</f>
        <v>0</v>
      </c>
    </row>
    <row r="69" spans="1:18" ht="14.25">
      <c r="A69" s="95" t="s">
        <v>303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1"/>
      <c r="P69" s="77"/>
      <c r="Q69" s="77"/>
      <c r="R69" s="71"/>
    </row>
    <row r="70" spans="1:18" ht="14.25">
      <c r="A70" s="95" t="s">
        <v>304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>
        <v>0</v>
      </c>
      <c r="M70" s="77"/>
      <c r="N70" s="77"/>
      <c r="O70" s="71"/>
      <c r="P70" s="77"/>
      <c r="Q70" s="77"/>
      <c r="R70" s="71">
        <f>SUM(L70:Q70)</f>
        <v>0</v>
      </c>
    </row>
    <row r="71" spans="1:18" ht="14.25">
      <c r="A71" s="95" t="s">
        <v>305</v>
      </c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1"/>
      <c r="P71" s="77"/>
      <c r="Q71" s="77"/>
      <c r="R71" s="71"/>
    </row>
    <row r="72" spans="1:18" ht="14.25">
      <c r="A72" s="95" t="s">
        <v>306</v>
      </c>
      <c r="B72" s="77"/>
      <c r="C72" s="77">
        <v>0</v>
      </c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1"/>
      <c r="P72" s="77"/>
      <c r="Q72" s="77"/>
      <c r="R72" s="71">
        <f>SUM(C72:Q72)</f>
        <v>0</v>
      </c>
    </row>
    <row r="73" spans="1:18" ht="14.25">
      <c r="A73" s="95" t="s">
        <v>307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1"/>
      <c r="P73" s="77"/>
      <c r="Q73" s="77"/>
      <c r="R73" s="71">
        <v>0</v>
      </c>
    </row>
    <row r="74" spans="1:18" ht="14.25">
      <c r="A74" s="95" t="s">
        <v>308</v>
      </c>
      <c r="B74" s="77"/>
      <c r="C74" s="77">
        <v>0</v>
      </c>
      <c r="D74" s="77"/>
      <c r="E74" s="77">
        <v>10000</v>
      </c>
      <c r="F74" s="77"/>
      <c r="G74" s="77"/>
      <c r="H74" s="77"/>
      <c r="I74" s="77"/>
      <c r="J74" s="77"/>
      <c r="K74" s="77"/>
      <c r="L74" s="77">
        <v>0</v>
      </c>
      <c r="M74" s="77"/>
      <c r="N74" s="77"/>
      <c r="O74" s="71"/>
      <c r="P74" s="77"/>
      <c r="Q74" s="77"/>
      <c r="R74" s="71">
        <f>SUM(C74:E74)</f>
        <v>10000</v>
      </c>
    </row>
    <row r="75" spans="1:18" ht="14.25">
      <c r="A75" s="95" t="s">
        <v>309</v>
      </c>
      <c r="B75" s="77"/>
      <c r="C75" s="77"/>
      <c r="D75" s="77"/>
      <c r="E75" s="77">
        <v>0</v>
      </c>
      <c r="F75" s="77"/>
      <c r="G75" s="77"/>
      <c r="H75" s="77"/>
      <c r="I75" s="77"/>
      <c r="J75" s="77"/>
      <c r="K75" s="77"/>
      <c r="L75" s="77"/>
      <c r="M75" s="77"/>
      <c r="N75" s="77"/>
      <c r="O75" s="71"/>
      <c r="P75" s="77"/>
      <c r="Q75" s="77"/>
      <c r="R75" s="71"/>
    </row>
    <row r="76" spans="1:18" ht="14.25">
      <c r="A76" s="95" t="s">
        <v>310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1"/>
      <c r="P76" s="77"/>
      <c r="Q76" s="77"/>
      <c r="R76" s="71"/>
    </row>
    <row r="77" spans="1:18" ht="14.25">
      <c r="A77" s="91" t="s">
        <v>36</v>
      </c>
      <c r="B77" s="62"/>
      <c r="C77" s="80">
        <f>SUM(C65:C76)</f>
        <v>0</v>
      </c>
      <c r="D77" s="62">
        <f>SUM(D67:D76)</f>
        <v>0</v>
      </c>
      <c r="E77" s="62">
        <f>SUM(E65:E76)</f>
        <v>30000</v>
      </c>
      <c r="F77" s="62">
        <v>0</v>
      </c>
      <c r="G77" s="62">
        <f>SUM(G65)</f>
        <v>0</v>
      </c>
      <c r="H77" s="62">
        <f>SUM(H65:H76)</f>
        <v>0</v>
      </c>
      <c r="I77" s="62">
        <v>0</v>
      </c>
      <c r="J77" s="62">
        <v>0</v>
      </c>
      <c r="K77" s="62">
        <v>0</v>
      </c>
      <c r="L77" s="62">
        <f>SUM(L66:L76)</f>
        <v>0</v>
      </c>
      <c r="M77" s="62">
        <v>0</v>
      </c>
      <c r="N77" s="62">
        <v>0</v>
      </c>
      <c r="O77" s="62">
        <v>0</v>
      </c>
      <c r="P77" s="62">
        <v>0</v>
      </c>
      <c r="Q77" s="62"/>
      <c r="R77" s="73">
        <f>SUM(R65:R76)</f>
        <v>30000</v>
      </c>
    </row>
    <row r="78" spans="1:18" ht="15" thickBot="1">
      <c r="A78" s="92" t="s">
        <v>37</v>
      </c>
      <c r="B78" s="94"/>
      <c r="C78" s="81">
        <v>0</v>
      </c>
      <c r="D78" s="94">
        <v>0</v>
      </c>
      <c r="E78" s="94">
        <f>30000+40000+30000</f>
        <v>100000</v>
      </c>
      <c r="F78" s="94">
        <v>0</v>
      </c>
      <c r="G78" s="94">
        <v>0</v>
      </c>
      <c r="H78" s="94">
        <v>0</v>
      </c>
      <c r="I78" s="94">
        <v>0</v>
      </c>
      <c r="J78" s="94">
        <v>0</v>
      </c>
      <c r="K78" s="94">
        <v>0</v>
      </c>
      <c r="L78" s="94">
        <v>0</v>
      </c>
      <c r="M78" s="94">
        <v>0</v>
      </c>
      <c r="N78" s="94">
        <v>0</v>
      </c>
      <c r="O78" s="94">
        <v>0</v>
      </c>
      <c r="P78" s="94">
        <v>0</v>
      </c>
      <c r="Q78" s="94"/>
      <c r="R78" s="74">
        <f>SUM(C78:Q78)</f>
        <v>100000</v>
      </c>
    </row>
    <row r="79" ht="15" thickTop="1"/>
    <row r="82" spans="1:18" s="65" customFormat="1" ht="13.5" customHeight="1">
      <c r="A82" s="66" t="s">
        <v>118</v>
      </c>
      <c r="B82" s="357" t="s">
        <v>95</v>
      </c>
      <c r="C82" s="358" t="s">
        <v>96</v>
      </c>
      <c r="D82" s="358"/>
      <c r="E82" s="358"/>
      <c r="F82" s="88" t="s">
        <v>97</v>
      </c>
      <c r="G82" s="358" t="s">
        <v>98</v>
      </c>
      <c r="H82" s="358"/>
      <c r="I82" s="358" t="s">
        <v>99</v>
      </c>
      <c r="J82" s="358"/>
      <c r="K82" s="88" t="s">
        <v>100</v>
      </c>
      <c r="L82" s="358" t="s">
        <v>101</v>
      </c>
      <c r="M82" s="358"/>
      <c r="N82" s="358" t="s">
        <v>102</v>
      </c>
      <c r="O82" s="358"/>
      <c r="P82" s="359" t="s">
        <v>116</v>
      </c>
      <c r="Q82" s="360"/>
      <c r="R82" s="355" t="s">
        <v>19</v>
      </c>
    </row>
    <row r="83" spans="1:18" s="65" customFormat="1" ht="13.5" customHeight="1">
      <c r="A83" s="67" t="s">
        <v>119</v>
      </c>
      <c r="B83" s="357"/>
      <c r="C83" s="88" t="s">
        <v>103</v>
      </c>
      <c r="D83" s="88" t="s">
        <v>114</v>
      </c>
      <c r="E83" s="88" t="s">
        <v>104</v>
      </c>
      <c r="F83" s="88" t="s">
        <v>105</v>
      </c>
      <c r="G83" s="88" t="s">
        <v>106</v>
      </c>
      <c r="H83" s="88" t="s">
        <v>107</v>
      </c>
      <c r="I83" s="88" t="s">
        <v>108</v>
      </c>
      <c r="J83" s="88" t="s">
        <v>109</v>
      </c>
      <c r="K83" s="88" t="s">
        <v>115</v>
      </c>
      <c r="L83" s="88" t="s">
        <v>110</v>
      </c>
      <c r="M83" s="88" t="s">
        <v>111</v>
      </c>
      <c r="N83" s="88" t="s">
        <v>112</v>
      </c>
      <c r="O83" s="88" t="s">
        <v>113</v>
      </c>
      <c r="P83" s="88" t="s">
        <v>336</v>
      </c>
      <c r="Q83" s="201" t="s">
        <v>117</v>
      </c>
      <c r="R83" s="356"/>
    </row>
    <row r="84" spans="1:18" ht="13.5" customHeight="1">
      <c r="A84" s="93" t="s">
        <v>311</v>
      </c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</row>
    <row r="85" spans="1:18" ht="13.5" customHeight="1">
      <c r="A85" s="95" t="s">
        <v>312</v>
      </c>
      <c r="B85" s="68"/>
      <c r="C85" s="68">
        <v>0</v>
      </c>
      <c r="D85" s="68"/>
      <c r="E85" s="68"/>
      <c r="F85" s="68"/>
      <c r="G85" s="68">
        <v>0</v>
      </c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>
        <f>SUM(C85:P85)</f>
        <v>0</v>
      </c>
    </row>
    <row r="86" spans="1:18" ht="13.5" customHeight="1">
      <c r="A86" s="91" t="s">
        <v>313</v>
      </c>
      <c r="B86" s="71"/>
      <c r="C86" s="71">
        <v>0</v>
      </c>
      <c r="D86" s="71"/>
      <c r="E86" s="71"/>
      <c r="F86" s="71"/>
      <c r="G86" s="71">
        <v>0</v>
      </c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>
        <f>SUM(C86:P86)</f>
        <v>0</v>
      </c>
    </row>
    <row r="87" spans="1:18" ht="13.5" customHeight="1">
      <c r="A87" s="91" t="s">
        <v>314</v>
      </c>
      <c r="B87" s="71"/>
      <c r="C87" s="71">
        <v>0</v>
      </c>
      <c r="D87" s="71"/>
      <c r="E87" s="71"/>
      <c r="F87" s="71"/>
      <c r="G87" s="71">
        <v>0</v>
      </c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>
        <f>SUM(C87:P87)</f>
        <v>0</v>
      </c>
    </row>
    <row r="88" spans="1:18" ht="13.5" customHeight="1">
      <c r="A88" s="90" t="s">
        <v>315</v>
      </c>
      <c r="B88" s="71"/>
      <c r="C88" s="71">
        <v>0</v>
      </c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</row>
    <row r="89" spans="1:18" ht="13.5" customHeight="1">
      <c r="A89" s="91" t="s">
        <v>316</v>
      </c>
      <c r="B89" s="72"/>
      <c r="C89" s="72">
        <v>0</v>
      </c>
      <c r="D89" s="72"/>
      <c r="E89" s="72"/>
      <c r="F89" s="72"/>
      <c r="G89" s="72">
        <v>0</v>
      </c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>
        <f>SUM(C89:P89)</f>
        <v>0</v>
      </c>
    </row>
    <row r="90" spans="1:18" ht="13.5" customHeight="1">
      <c r="A90" s="91" t="s">
        <v>36</v>
      </c>
      <c r="B90" s="62"/>
      <c r="C90" s="62">
        <v>0</v>
      </c>
      <c r="D90" s="62">
        <v>0</v>
      </c>
      <c r="E90" s="62">
        <v>0</v>
      </c>
      <c r="F90" s="62">
        <v>0</v>
      </c>
      <c r="G90" s="62">
        <v>0</v>
      </c>
      <c r="H90" s="62">
        <v>0</v>
      </c>
      <c r="I90" s="62">
        <v>0</v>
      </c>
      <c r="J90" s="62">
        <v>0</v>
      </c>
      <c r="K90" s="62">
        <v>0</v>
      </c>
      <c r="L90" s="62">
        <v>0</v>
      </c>
      <c r="M90" s="62">
        <v>0</v>
      </c>
      <c r="N90" s="62">
        <v>0</v>
      </c>
      <c r="O90" s="62">
        <v>0</v>
      </c>
      <c r="P90" s="62">
        <v>0</v>
      </c>
      <c r="Q90" s="62"/>
      <c r="R90" s="73">
        <f>SUM(C90:P90)</f>
        <v>0</v>
      </c>
    </row>
    <row r="91" spans="1:18" ht="13.5" customHeight="1" thickBot="1">
      <c r="A91" s="92" t="s">
        <v>37</v>
      </c>
      <c r="B91" s="62"/>
      <c r="C91" s="62">
        <v>0</v>
      </c>
      <c r="D91" s="62">
        <v>0</v>
      </c>
      <c r="E91" s="62">
        <v>0</v>
      </c>
      <c r="F91" s="62">
        <v>0</v>
      </c>
      <c r="G91" s="62">
        <v>0</v>
      </c>
      <c r="H91" s="62">
        <v>0</v>
      </c>
      <c r="I91" s="62">
        <v>0</v>
      </c>
      <c r="J91" s="62">
        <v>0</v>
      </c>
      <c r="K91" s="62">
        <v>0</v>
      </c>
      <c r="L91" s="62">
        <v>0</v>
      </c>
      <c r="M91" s="62">
        <v>0</v>
      </c>
      <c r="N91" s="62">
        <v>0</v>
      </c>
      <c r="O91" s="62">
        <v>0</v>
      </c>
      <c r="P91" s="62">
        <v>0</v>
      </c>
      <c r="Q91" s="199"/>
      <c r="R91" s="74">
        <f>SUM(C91:P91)</f>
        <v>0</v>
      </c>
    </row>
    <row r="92" spans="1:18" ht="13.5" customHeight="1" thickTop="1">
      <c r="A92" s="93" t="s">
        <v>317</v>
      </c>
      <c r="B92" s="75"/>
      <c r="C92" s="75"/>
      <c r="D92" s="75"/>
      <c r="E92" s="75"/>
      <c r="F92" s="75"/>
      <c r="G92" s="75"/>
      <c r="H92" s="75"/>
      <c r="I92" s="75"/>
      <c r="J92" s="85"/>
      <c r="K92" s="75"/>
      <c r="L92" s="75"/>
      <c r="M92" s="75"/>
      <c r="N92" s="75"/>
      <c r="O92" s="76"/>
      <c r="P92" s="75"/>
      <c r="Q92" s="75"/>
      <c r="R92" s="76"/>
    </row>
    <row r="93" spans="1:18" ht="13.5" customHeight="1">
      <c r="A93" s="91" t="s">
        <v>318</v>
      </c>
      <c r="B93" s="77"/>
      <c r="C93" s="77"/>
      <c r="D93" s="77"/>
      <c r="E93" s="77"/>
      <c r="F93" s="77"/>
      <c r="G93" s="77"/>
      <c r="H93" s="77"/>
      <c r="I93" s="77"/>
      <c r="J93" s="83"/>
      <c r="K93" s="77"/>
      <c r="L93" s="77"/>
      <c r="M93" s="77"/>
      <c r="N93" s="77"/>
      <c r="O93" s="71"/>
      <c r="P93" s="77"/>
      <c r="Q93" s="77"/>
      <c r="R93" s="71"/>
    </row>
    <row r="94" spans="1:18" ht="13.5" customHeight="1">
      <c r="A94" s="91" t="s">
        <v>319</v>
      </c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1"/>
      <c r="P94" s="77"/>
      <c r="Q94" s="77"/>
      <c r="R94" s="71"/>
    </row>
    <row r="95" spans="1:20" ht="13.5" customHeight="1">
      <c r="A95" s="91" t="s">
        <v>320</v>
      </c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1"/>
      <c r="P95" s="77"/>
      <c r="Q95" s="77"/>
      <c r="R95" s="71"/>
      <c r="T95" s="64">
        <v>3</v>
      </c>
    </row>
    <row r="96" spans="1:18" ht="13.5" customHeight="1">
      <c r="A96" s="91" t="s">
        <v>321</v>
      </c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1"/>
      <c r="P96" s="77"/>
      <c r="Q96" s="77"/>
      <c r="R96" s="71"/>
    </row>
    <row r="97" spans="1:18" ht="13.5" customHeight="1">
      <c r="A97" s="91" t="s">
        <v>322</v>
      </c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1"/>
      <c r="P97" s="77"/>
      <c r="Q97" s="77"/>
      <c r="R97" s="71"/>
    </row>
    <row r="98" spans="1:18" ht="13.5" customHeight="1">
      <c r="A98" s="95" t="s">
        <v>323</v>
      </c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4"/>
      <c r="P98" s="83"/>
      <c r="Q98" s="83"/>
      <c r="R98" s="84"/>
    </row>
    <row r="99" spans="1:18" ht="13.5" customHeight="1">
      <c r="A99" s="91" t="s">
        <v>324</v>
      </c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1"/>
      <c r="P99" s="77"/>
      <c r="Q99" s="77"/>
      <c r="R99" s="71"/>
    </row>
    <row r="100" spans="1:18" ht="13.5" customHeight="1">
      <c r="A100" s="95" t="s">
        <v>325</v>
      </c>
      <c r="B100" s="78"/>
      <c r="C100" s="78">
        <v>0</v>
      </c>
      <c r="D100" s="78"/>
      <c r="E100" s="78"/>
      <c r="F100" s="78"/>
      <c r="G100" s="78">
        <v>0</v>
      </c>
      <c r="H100" s="153"/>
      <c r="I100" s="78">
        <v>0</v>
      </c>
      <c r="J100" s="78"/>
      <c r="K100" s="78"/>
      <c r="L100" s="78"/>
      <c r="M100" s="78"/>
      <c r="N100" s="78"/>
      <c r="O100" s="68"/>
      <c r="P100" s="78"/>
      <c r="Q100" s="78"/>
      <c r="R100" s="223">
        <f>SUM(C100:Q100)</f>
        <v>0</v>
      </c>
    </row>
    <row r="101" spans="1:18" ht="13.5" customHeight="1">
      <c r="A101" s="91" t="s">
        <v>36</v>
      </c>
      <c r="B101" s="62"/>
      <c r="C101" s="62">
        <f>SUM(C100)</f>
        <v>0</v>
      </c>
      <c r="D101" s="62">
        <v>0</v>
      </c>
      <c r="E101" s="62">
        <v>0</v>
      </c>
      <c r="F101" s="62">
        <v>0</v>
      </c>
      <c r="G101" s="73">
        <f>SUM(G100)</f>
        <v>0</v>
      </c>
      <c r="H101" s="62">
        <v>0</v>
      </c>
      <c r="I101" s="62">
        <f>SUM(I100)</f>
        <v>0</v>
      </c>
      <c r="J101" s="62">
        <v>0</v>
      </c>
      <c r="K101" s="62">
        <v>0</v>
      </c>
      <c r="L101" s="62">
        <v>0</v>
      </c>
      <c r="M101" s="62">
        <v>0</v>
      </c>
      <c r="N101" s="62">
        <v>0</v>
      </c>
      <c r="O101" s="62">
        <v>0</v>
      </c>
      <c r="P101" s="62">
        <v>0</v>
      </c>
      <c r="Q101" s="62"/>
      <c r="R101" s="73">
        <f>SUM(C101:Q101)</f>
        <v>0</v>
      </c>
    </row>
    <row r="102" spans="1:18" ht="13.5" customHeight="1" thickBot="1">
      <c r="A102" s="92" t="s">
        <v>37</v>
      </c>
      <c r="B102" s="94"/>
      <c r="C102" s="94">
        <f>30000</f>
        <v>30000</v>
      </c>
      <c r="D102" s="94">
        <v>0</v>
      </c>
      <c r="E102" s="94">
        <v>0</v>
      </c>
      <c r="F102" s="94">
        <v>0</v>
      </c>
      <c r="G102" s="94">
        <v>0</v>
      </c>
      <c r="H102" s="94">
        <v>0</v>
      </c>
      <c r="I102" s="94">
        <f>20000</f>
        <v>20000</v>
      </c>
      <c r="J102" s="94">
        <v>0</v>
      </c>
      <c r="K102" s="94">
        <v>0</v>
      </c>
      <c r="L102" s="94">
        <v>0</v>
      </c>
      <c r="M102" s="94">
        <v>0</v>
      </c>
      <c r="N102" s="94">
        <v>0</v>
      </c>
      <c r="O102" s="94">
        <v>0</v>
      </c>
      <c r="P102" s="94">
        <v>0</v>
      </c>
      <c r="Q102" s="94"/>
      <c r="R102" s="74">
        <f>SUM(C102:Q102)</f>
        <v>50000</v>
      </c>
    </row>
    <row r="103" spans="1:18" ht="13.5" customHeight="1" thickTop="1">
      <c r="A103" s="95" t="s">
        <v>326</v>
      </c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4"/>
      <c r="O103" s="84"/>
      <c r="P103" s="84"/>
      <c r="Q103" s="84"/>
      <c r="R103" s="85"/>
    </row>
    <row r="104" spans="1:18" ht="13.5" customHeight="1">
      <c r="A104" s="95" t="s">
        <v>327</v>
      </c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4"/>
      <c r="P104" s="83"/>
      <c r="Q104" s="83"/>
      <c r="R104" s="84"/>
    </row>
    <row r="105" spans="1:18" ht="13.5" customHeight="1">
      <c r="A105" s="95" t="s">
        <v>328</v>
      </c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4"/>
      <c r="P105" s="83"/>
      <c r="Q105" s="83"/>
      <c r="R105" s="84"/>
    </row>
    <row r="106" spans="1:18" ht="13.5" customHeight="1">
      <c r="A106" s="91" t="s">
        <v>329</v>
      </c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1"/>
      <c r="P106" s="77"/>
      <c r="Q106" s="77"/>
      <c r="R106" s="71"/>
    </row>
    <row r="107" spans="1:18" ht="13.5" customHeight="1">
      <c r="A107" s="91" t="s">
        <v>36</v>
      </c>
      <c r="B107" s="62"/>
      <c r="C107" s="62">
        <f>SUM(C105:C106)</f>
        <v>0</v>
      </c>
      <c r="D107" s="62">
        <v>0</v>
      </c>
      <c r="E107" s="62">
        <v>0</v>
      </c>
      <c r="F107" s="62">
        <v>0</v>
      </c>
      <c r="G107" s="62">
        <v>0</v>
      </c>
      <c r="H107" s="62">
        <v>0</v>
      </c>
      <c r="I107" s="62">
        <v>0</v>
      </c>
      <c r="J107" s="62">
        <v>0</v>
      </c>
      <c r="K107" s="62">
        <v>0</v>
      </c>
      <c r="L107" s="62">
        <v>0</v>
      </c>
      <c r="M107" s="62">
        <v>0</v>
      </c>
      <c r="N107" s="62">
        <v>0</v>
      </c>
      <c r="O107" s="62">
        <v>0</v>
      </c>
      <c r="P107" s="62">
        <v>0</v>
      </c>
      <c r="Q107" s="62"/>
      <c r="R107" s="62">
        <f>SUM(C107:P107)</f>
        <v>0</v>
      </c>
    </row>
    <row r="108" spans="1:18" ht="13.5" customHeight="1" thickBot="1">
      <c r="A108" s="92" t="s">
        <v>37</v>
      </c>
      <c r="B108" s="94"/>
      <c r="C108" s="94">
        <v>0</v>
      </c>
      <c r="D108" s="94">
        <v>0</v>
      </c>
      <c r="E108" s="94">
        <v>0</v>
      </c>
      <c r="F108" s="94">
        <v>0</v>
      </c>
      <c r="G108" s="94">
        <v>0</v>
      </c>
      <c r="H108" s="94">
        <v>0</v>
      </c>
      <c r="I108" s="94">
        <v>0</v>
      </c>
      <c r="J108" s="94">
        <v>0</v>
      </c>
      <c r="K108" s="94">
        <v>0</v>
      </c>
      <c r="L108" s="94">
        <v>0</v>
      </c>
      <c r="M108" s="94">
        <v>0</v>
      </c>
      <c r="N108" s="94">
        <v>0</v>
      </c>
      <c r="O108" s="94">
        <v>0</v>
      </c>
      <c r="P108" s="94">
        <v>0</v>
      </c>
      <c r="Q108" s="94"/>
      <c r="R108" s="74">
        <f>SUM(C108:P108)</f>
        <v>0</v>
      </c>
    </row>
    <row r="109" spans="1:18" ht="13.5" customHeight="1" thickTop="1">
      <c r="A109" s="95" t="s">
        <v>330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4"/>
      <c r="N109" s="83"/>
      <c r="O109" s="85"/>
      <c r="P109" s="83"/>
      <c r="Q109" s="83"/>
      <c r="R109" s="71"/>
    </row>
    <row r="110" spans="1:18" ht="13.5" customHeight="1">
      <c r="A110" s="95" t="s">
        <v>331</v>
      </c>
      <c r="B110" s="71"/>
      <c r="C110" s="77">
        <v>0</v>
      </c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1"/>
      <c r="P110" s="77"/>
      <c r="Q110" s="77"/>
      <c r="R110" s="71">
        <f>SUM(C110:Q110)</f>
        <v>0</v>
      </c>
    </row>
    <row r="111" spans="1:18" ht="13.5" customHeight="1">
      <c r="A111" s="95" t="s">
        <v>332</v>
      </c>
      <c r="B111" s="78"/>
      <c r="C111" s="77">
        <v>0</v>
      </c>
      <c r="D111" s="77"/>
      <c r="E111" s="77"/>
      <c r="F111" s="77"/>
      <c r="G111" s="77"/>
      <c r="H111" s="77">
        <v>0</v>
      </c>
      <c r="I111" s="77"/>
      <c r="J111" s="77"/>
      <c r="K111" s="77"/>
      <c r="L111" s="77"/>
      <c r="M111" s="77">
        <v>300000</v>
      </c>
      <c r="N111" s="77"/>
      <c r="O111" s="77">
        <v>0</v>
      </c>
      <c r="P111" s="71"/>
      <c r="Q111" s="71"/>
      <c r="R111" s="71">
        <f>SUM(C111:P111)</f>
        <v>300000</v>
      </c>
    </row>
    <row r="112" spans="1:18" ht="13.5" customHeight="1">
      <c r="A112" s="91" t="s">
        <v>333</v>
      </c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1"/>
      <c r="Q112" s="71"/>
      <c r="R112" s="71">
        <f>SUM(C112:P112)</f>
        <v>0</v>
      </c>
    </row>
    <row r="113" spans="1:18" ht="13.5" customHeight="1">
      <c r="A113" s="91" t="s">
        <v>36</v>
      </c>
      <c r="B113" s="62"/>
      <c r="C113" s="62">
        <f>SUM(C110:C112)</f>
        <v>0</v>
      </c>
      <c r="D113" s="62">
        <v>0</v>
      </c>
      <c r="E113" s="62">
        <v>0</v>
      </c>
      <c r="F113" s="62">
        <v>0</v>
      </c>
      <c r="G113" s="62">
        <v>0</v>
      </c>
      <c r="H113" s="62">
        <v>0</v>
      </c>
      <c r="I113" s="62">
        <v>0</v>
      </c>
      <c r="J113" s="62">
        <v>0</v>
      </c>
      <c r="K113" s="62">
        <v>0</v>
      </c>
      <c r="L113" s="62">
        <v>0</v>
      </c>
      <c r="M113" s="62">
        <f>SUM(M109:M112)</f>
        <v>300000</v>
      </c>
      <c r="N113" s="62">
        <f>SUM(N111:N112)</f>
        <v>0</v>
      </c>
      <c r="O113" s="62">
        <f>SUM(O111:O112)</f>
        <v>0</v>
      </c>
      <c r="P113" s="62">
        <f>SUM(P109:P112)</f>
        <v>0</v>
      </c>
      <c r="Q113" s="62"/>
      <c r="R113" s="62">
        <f>SUM(C113:P113)</f>
        <v>300000</v>
      </c>
    </row>
    <row r="114" spans="1:18" ht="13.5" customHeight="1" thickBot="1">
      <c r="A114" s="92" t="s">
        <v>37</v>
      </c>
      <c r="B114" s="94"/>
      <c r="C114" s="94">
        <v>0</v>
      </c>
      <c r="D114" s="94">
        <v>0</v>
      </c>
      <c r="E114" s="94">
        <v>0</v>
      </c>
      <c r="F114" s="94">
        <v>0</v>
      </c>
      <c r="G114" s="94">
        <v>0</v>
      </c>
      <c r="H114" s="94">
        <v>0</v>
      </c>
      <c r="I114" s="94">
        <v>0</v>
      </c>
      <c r="J114" s="94">
        <v>0</v>
      </c>
      <c r="K114" s="94">
        <v>0</v>
      </c>
      <c r="L114" s="94">
        <v>0</v>
      </c>
      <c r="M114" s="94">
        <f>300000</f>
        <v>300000</v>
      </c>
      <c r="N114" s="94">
        <f>SUM(N112:N113)</f>
        <v>0</v>
      </c>
      <c r="O114" s="94">
        <v>0</v>
      </c>
      <c r="P114" s="94">
        <v>0</v>
      </c>
      <c r="Q114" s="94"/>
      <c r="R114" s="94">
        <f>SUM(C114:P114)</f>
        <v>300000</v>
      </c>
    </row>
    <row r="115" spans="1:18" ht="13.5" customHeight="1" thickTop="1">
      <c r="A115" s="95" t="s">
        <v>334</v>
      </c>
      <c r="B115" s="78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4"/>
      <c r="P115" s="83"/>
      <c r="Q115" s="83"/>
      <c r="R115" s="84"/>
    </row>
    <row r="116" spans="1:18" ht="13.5" customHeight="1">
      <c r="A116" s="95" t="s">
        <v>335</v>
      </c>
      <c r="B116" s="79"/>
      <c r="C116" s="78"/>
      <c r="D116" s="78">
        <v>0</v>
      </c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68"/>
      <c r="P116" s="78"/>
      <c r="Q116" s="78"/>
      <c r="R116" s="68">
        <f>SUM(B116:P116)</f>
        <v>0</v>
      </c>
    </row>
    <row r="117" spans="1:18" ht="13.5" customHeight="1">
      <c r="A117" s="91" t="s">
        <v>36</v>
      </c>
      <c r="B117" s="62">
        <v>0</v>
      </c>
      <c r="C117" s="62">
        <v>0</v>
      </c>
      <c r="D117" s="62">
        <f>SUM(D116)</f>
        <v>0</v>
      </c>
      <c r="E117" s="62">
        <v>0</v>
      </c>
      <c r="F117" s="62">
        <v>0</v>
      </c>
      <c r="G117" s="62">
        <v>0</v>
      </c>
      <c r="H117" s="62">
        <v>0</v>
      </c>
      <c r="I117" s="62">
        <v>0</v>
      </c>
      <c r="J117" s="62">
        <v>0</v>
      </c>
      <c r="K117" s="62">
        <v>0</v>
      </c>
      <c r="L117" s="62">
        <v>0</v>
      </c>
      <c r="M117" s="62">
        <v>0</v>
      </c>
      <c r="N117" s="62">
        <v>0</v>
      </c>
      <c r="O117" s="62">
        <v>0</v>
      </c>
      <c r="P117" s="62">
        <v>0</v>
      </c>
      <c r="Q117" s="62"/>
      <c r="R117" s="62">
        <f>SUM(B117:P117)</f>
        <v>0</v>
      </c>
    </row>
    <row r="118" spans="1:18" ht="13.5" customHeight="1" thickBot="1">
      <c r="A118" s="92" t="s">
        <v>37</v>
      </c>
      <c r="B118" s="94">
        <v>0</v>
      </c>
      <c r="C118" s="94">
        <v>0</v>
      </c>
      <c r="D118" s="94">
        <v>0</v>
      </c>
      <c r="E118" s="94">
        <v>0</v>
      </c>
      <c r="F118" s="94">
        <v>0</v>
      </c>
      <c r="G118" s="94">
        <v>0</v>
      </c>
      <c r="H118" s="94">
        <v>0</v>
      </c>
      <c r="I118" s="94">
        <v>0</v>
      </c>
      <c r="J118" s="94">
        <v>0</v>
      </c>
      <c r="K118" s="94">
        <v>0</v>
      </c>
      <c r="L118" s="94">
        <v>0</v>
      </c>
      <c r="M118" s="94">
        <v>0</v>
      </c>
      <c r="N118" s="94">
        <v>0</v>
      </c>
      <c r="O118" s="94">
        <v>0</v>
      </c>
      <c r="P118" s="94">
        <v>0</v>
      </c>
      <c r="Q118" s="94"/>
      <c r="R118" s="94">
        <f>SUM(B118:P118)</f>
        <v>0</v>
      </c>
    </row>
    <row r="119" spans="1:18" ht="13.5" customHeight="1" thickTop="1">
      <c r="A119" s="91" t="s">
        <v>36</v>
      </c>
      <c r="B119" s="73">
        <f>SUM(B14)</f>
        <v>90000</v>
      </c>
      <c r="C119" s="62">
        <f>SUM(C23+C29+C34+C47+C55+C62+C77+C90+C101+C107++C113)</f>
        <v>0</v>
      </c>
      <c r="D119" s="152">
        <f>SUM(D62)</f>
        <v>0</v>
      </c>
      <c r="E119" s="152">
        <f>SUM(E23+E29+E34+E47+E55+E62+E77+E90+E101+E107+E113)</f>
        <v>0</v>
      </c>
      <c r="F119" s="152">
        <f>SUM(F62)</f>
        <v>0</v>
      </c>
      <c r="G119" s="152">
        <f>SUM(G29+G47+G55+G62+G77+G90+G101+G107+G113)</f>
        <v>0</v>
      </c>
      <c r="H119" s="152">
        <f>SUM(H47+H62+H113)</f>
        <v>0</v>
      </c>
      <c r="I119" s="152">
        <f>SUM(I47+I55+I62+I77+I90+I101+I107+I113)</f>
        <v>0</v>
      </c>
      <c r="J119" s="152">
        <f>SUM(J47+J55+J62+J77+J90+J101+J107+J113)</f>
        <v>0</v>
      </c>
      <c r="K119" s="152">
        <v>0</v>
      </c>
      <c r="L119" s="152">
        <f>SUM(L29+L34+L47+L55+L62+L77+L90+L101+L107+L113)</f>
        <v>-90000</v>
      </c>
      <c r="M119" s="152">
        <v>0</v>
      </c>
      <c r="N119" s="152">
        <f>SUM(N62)</f>
        <v>0</v>
      </c>
      <c r="O119" s="152">
        <f>SUM(O14+O23+O29+O34+O47+O55+O62+O77+O90+O101+O107+O113)</f>
        <v>0</v>
      </c>
      <c r="P119" s="152">
        <v>0</v>
      </c>
      <c r="Q119" s="152"/>
      <c r="R119" s="73">
        <f>SUM(B119:Q119)</f>
        <v>0</v>
      </c>
    </row>
    <row r="120" spans="1:18" ht="13.5" customHeight="1" thickBot="1">
      <c r="A120" s="92" t="s">
        <v>37</v>
      </c>
      <c r="B120" s="74">
        <f>210000+90000</f>
        <v>300000</v>
      </c>
      <c r="C120" s="94">
        <f>101900-210000</f>
        <v>-108100</v>
      </c>
      <c r="D120" s="94">
        <f>-30000</f>
        <v>-30000</v>
      </c>
      <c r="E120" s="94">
        <v>0</v>
      </c>
      <c r="F120" s="94">
        <v>0</v>
      </c>
      <c r="G120" s="94">
        <f>-70000</f>
        <v>-70000</v>
      </c>
      <c r="H120" s="94">
        <f>70000</f>
        <v>70000</v>
      </c>
      <c r="I120" s="94">
        <v>0</v>
      </c>
      <c r="J120" s="94">
        <f>-21900</f>
        <v>-21900</v>
      </c>
      <c r="K120" s="94">
        <v>0</v>
      </c>
      <c r="L120" s="94">
        <f>-90000</f>
        <v>-90000</v>
      </c>
      <c r="M120" s="94">
        <v>0</v>
      </c>
      <c r="N120" s="94">
        <v>0</v>
      </c>
      <c r="O120" s="94">
        <f>-50000</f>
        <v>-50000</v>
      </c>
      <c r="P120" s="94">
        <v>0</v>
      </c>
      <c r="Q120" s="94"/>
      <c r="R120" s="74">
        <f>SUM(B120:Q120)</f>
        <v>0</v>
      </c>
    </row>
    <row r="121" ht="15" thickTop="1"/>
  </sheetData>
  <sheetProtection/>
  <mergeCells count="28">
    <mergeCell ref="A4:R4"/>
    <mergeCell ref="G6:H6"/>
    <mergeCell ref="P42:Q42"/>
    <mergeCell ref="B42:B43"/>
    <mergeCell ref="C42:E42"/>
    <mergeCell ref="I42:J42"/>
    <mergeCell ref="L42:M42"/>
    <mergeCell ref="G42:H42"/>
    <mergeCell ref="C82:E82"/>
    <mergeCell ref="I82:J82"/>
    <mergeCell ref="I6:J6"/>
    <mergeCell ref="L6:M6"/>
    <mergeCell ref="G82:H82"/>
    <mergeCell ref="A1:R1"/>
    <mergeCell ref="A2:R2"/>
    <mergeCell ref="N6:O6"/>
    <mergeCell ref="B6:B7"/>
    <mergeCell ref="C6:E6"/>
    <mergeCell ref="L82:M82"/>
    <mergeCell ref="N82:O82"/>
    <mergeCell ref="P6:Q6"/>
    <mergeCell ref="A3:R3"/>
    <mergeCell ref="P82:Q82"/>
    <mergeCell ref="B82:B83"/>
    <mergeCell ref="R6:R7"/>
    <mergeCell ref="R42:R43"/>
    <mergeCell ref="R82:R83"/>
    <mergeCell ref="N42:O42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19"/>
  <sheetViews>
    <sheetView tabSelected="1" view="pageBreakPreview" zoomScaleSheetLayoutView="100" zoomScalePageLayoutView="0" workbookViewId="0" topLeftCell="A32">
      <selection activeCell="L56" sqref="L56"/>
    </sheetView>
  </sheetViews>
  <sheetFormatPr defaultColWidth="9.140625" defaultRowHeight="12.75"/>
  <cols>
    <col min="1" max="1" width="12.421875" style="69" customWidth="1"/>
    <col min="2" max="2" width="7.7109375" style="82" customWidth="1"/>
    <col min="3" max="3" width="7.57421875" style="82" customWidth="1"/>
    <col min="4" max="4" width="7.7109375" style="82" customWidth="1"/>
    <col min="5" max="6" width="7.421875" style="82" customWidth="1"/>
    <col min="7" max="7" width="7.57421875" style="82" customWidth="1"/>
    <col min="8" max="9" width="7.421875" style="82" customWidth="1"/>
    <col min="10" max="10" width="7.28125" style="82" customWidth="1"/>
    <col min="11" max="11" width="7.140625" style="82" customWidth="1"/>
    <col min="12" max="12" width="7.421875" style="82" customWidth="1"/>
    <col min="13" max="13" width="7.140625" style="82" customWidth="1"/>
    <col min="14" max="14" width="7.421875" style="82" customWidth="1"/>
    <col min="15" max="15" width="7.57421875" style="82" customWidth="1"/>
    <col min="16" max="16" width="7.421875" style="63" customWidth="1"/>
    <col min="17" max="17" width="7.57421875" style="63" customWidth="1"/>
    <col min="18" max="18" width="9.7109375" style="63" customWidth="1"/>
    <col min="19" max="16384" width="9.140625" style="64" customWidth="1"/>
  </cols>
  <sheetData>
    <row r="1" spans="1:18" ht="16.5">
      <c r="A1" s="361" t="s">
        <v>94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</row>
    <row r="2" spans="1:18" ht="16.5">
      <c r="A2" s="361" t="s">
        <v>475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</row>
    <row r="3" spans="1:18" ht="16.5">
      <c r="A3" s="362" t="s">
        <v>586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</row>
    <row r="4" s="125" customFormat="1" ht="14.25">
      <c r="Q4" s="200"/>
    </row>
    <row r="5" spans="1:18" s="65" customFormat="1" ht="14.25">
      <c r="A5" s="66" t="s">
        <v>118</v>
      </c>
      <c r="B5" s="357" t="s">
        <v>95</v>
      </c>
      <c r="C5" s="358" t="s">
        <v>96</v>
      </c>
      <c r="D5" s="358"/>
      <c r="E5" s="358"/>
      <c r="F5" s="88" t="s">
        <v>97</v>
      </c>
      <c r="G5" s="358" t="s">
        <v>98</v>
      </c>
      <c r="H5" s="358"/>
      <c r="I5" s="358" t="s">
        <v>99</v>
      </c>
      <c r="J5" s="358"/>
      <c r="K5" s="88" t="s">
        <v>100</v>
      </c>
      <c r="L5" s="358" t="s">
        <v>101</v>
      </c>
      <c r="M5" s="358"/>
      <c r="N5" s="358" t="s">
        <v>102</v>
      </c>
      <c r="O5" s="358"/>
      <c r="P5" s="359" t="s">
        <v>116</v>
      </c>
      <c r="Q5" s="360"/>
      <c r="R5" s="355" t="s">
        <v>19</v>
      </c>
    </row>
    <row r="6" spans="1:18" s="65" customFormat="1" ht="14.25">
      <c r="A6" s="67" t="s">
        <v>119</v>
      </c>
      <c r="B6" s="357"/>
      <c r="C6" s="88" t="s">
        <v>103</v>
      </c>
      <c r="D6" s="88" t="s">
        <v>114</v>
      </c>
      <c r="E6" s="88" t="s">
        <v>104</v>
      </c>
      <c r="F6" s="88" t="s">
        <v>105</v>
      </c>
      <c r="G6" s="88" t="s">
        <v>106</v>
      </c>
      <c r="H6" s="88" t="s">
        <v>107</v>
      </c>
      <c r="I6" s="88" t="s">
        <v>108</v>
      </c>
      <c r="J6" s="88" t="s">
        <v>109</v>
      </c>
      <c r="K6" s="88" t="s">
        <v>115</v>
      </c>
      <c r="L6" s="88" t="s">
        <v>110</v>
      </c>
      <c r="M6" s="88" t="s">
        <v>111</v>
      </c>
      <c r="N6" s="88" t="s">
        <v>112</v>
      </c>
      <c r="O6" s="88" t="s">
        <v>113</v>
      </c>
      <c r="P6" s="88" t="s">
        <v>336</v>
      </c>
      <c r="Q6" s="201" t="s">
        <v>117</v>
      </c>
      <c r="R6" s="356"/>
    </row>
    <row r="7" spans="1:18" ht="14.25">
      <c r="A7" s="89" t="s">
        <v>266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</row>
    <row r="8" spans="1:18" ht="14.25">
      <c r="A8" s="90" t="s">
        <v>267</v>
      </c>
      <c r="B8" s="68">
        <v>0</v>
      </c>
      <c r="C8" s="68"/>
      <c r="D8" s="68"/>
      <c r="E8" s="68" t="s">
        <v>264</v>
      </c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>
        <f>SUM(B8:P8)</f>
        <v>0</v>
      </c>
    </row>
    <row r="9" spans="1:18" ht="14.25">
      <c r="A9" s="91" t="s">
        <v>268</v>
      </c>
      <c r="B9" s="71">
        <v>0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>
        <f>SUM(B9:Q9)</f>
        <v>0</v>
      </c>
    </row>
    <row r="10" spans="1:18" ht="14.25">
      <c r="A10" s="91" t="s">
        <v>269</v>
      </c>
      <c r="B10" s="71">
        <v>0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>
        <f>SUM(B10:P10)</f>
        <v>0</v>
      </c>
    </row>
    <row r="11" spans="1:18" ht="14.25">
      <c r="A11" s="91" t="s">
        <v>270</v>
      </c>
      <c r="B11" s="71">
        <v>0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>
        <f>SUM(B11:P11)</f>
        <v>0</v>
      </c>
    </row>
    <row r="12" spans="1:18" ht="14.25">
      <c r="A12" s="91" t="s">
        <v>271</v>
      </c>
      <c r="B12" s="87">
        <v>0</v>
      </c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>
        <f>SUM(B12:Q12)</f>
        <v>0</v>
      </c>
    </row>
    <row r="13" spans="1:18" ht="14.25">
      <c r="A13" s="91" t="s">
        <v>36</v>
      </c>
      <c r="B13" s="73">
        <f>SUM(B8:B12)</f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/>
      <c r="R13" s="73">
        <f>SUM(B13:Q13)</f>
        <v>0</v>
      </c>
    </row>
    <row r="14" spans="1:18" ht="15" thickBot="1">
      <c r="A14" s="92" t="s">
        <v>37</v>
      </c>
      <c r="B14" s="74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199"/>
      <c r="R14" s="74">
        <f>SUM(B14:P14)</f>
        <v>0</v>
      </c>
    </row>
    <row r="15" spans="1:18" ht="15" thickTop="1">
      <c r="A15" s="93" t="s">
        <v>272</v>
      </c>
      <c r="B15" s="75"/>
      <c r="C15" s="8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6"/>
      <c r="P15" s="75"/>
      <c r="Q15" s="75"/>
      <c r="R15" s="76"/>
    </row>
    <row r="16" spans="1:18" ht="14.25">
      <c r="A16" s="91" t="s">
        <v>273</v>
      </c>
      <c r="B16" s="77"/>
      <c r="C16" s="71">
        <v>0</v>
      </c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1"/>
      <c r="P16" s="77"/>
      <c r="Q16" s="77"/>
      <c r="R16" s="71">
        <f aca="true" t="shared" si="0" ref="R16:R23">SUM(C16:P16)</f>
        <v>0</v>
      </c>
    </row>
    <row r="17" spans="1:18" ht="14.25">
      <c r="A17" s="90" t="s">
        <v>274</v>
      </c>
      <c r="B17" s="78"/>
      <c r="C17" s="78">
        <v>0</v>
      </c>
      <c r="D17" s="78"/>
      <c r="E17" s="78">
        <v>0</v>
      </c>
      <c r="F17" s="78"/>
      <c r="G17" s="78">
        <v>0</v>
      </c>
      <c r="H17" s="78"/>
      <c r="I17" s="78"/>
      <c r="J17" s="78"/>
      <c r="K17" s="78"/>
      <c r="L17" s="78">
        <v>0</v>
      </c>
      <c r="M17" s="78"/>
      <c r="N17" s="78"/>
      <c r="O17" s="68"/>
      <c r="P17" s="78"/>
      <c r="Q17" s="78"/>
      <c r="R17" s="68">
        <f t="shared" si="0"/>
        <v>0</v>
      </c>
    </row>
    <row r="18" spans="1:18" ht="14.25">
      <c r="A18" s="91" t="s">
        <v>275</v>
      </c>
      <c r="B18" s="77"/>
      <c r="C18" s="77">
        <v>0</v>
      </c>
      <c r="D18" s="77"/>
      <c r="E18" s="77">
        <v>0</v>
      </c>
      <c r="F18" s="77"/>
      <c r="G18" s="77">
        <v>0</v>
      </c>
      <c r="H18" s="77"/>
      <c r="I18" s="77"/>
      <c r="J18" s="77"/>
      <c r="K18" s="77"/>
      <c r="L18" s="77">
        <v>0</v>
      </c>
      <c r="M18" s="77"/>
      <c r="N18" s="77"/>
      <c r="O18" s="71"/>
      <c r="P18" s="77"/>
      <c r="Q18" s="77"/>
      <c r="R18" s="71">
        <f t="shared" si="0"/>
        <v>0</v>
      </c>
    </row>
    <row r="19" spans="1:18" ht="14.25">
      <c r="A19" s="91" t="s">
        <v>276</v>
      </c>
      <c r="B19" s="77"/>
      <c r="C19" s="71">
        <v>0</v>
      </c>
      <c r="D19" s="77"/>
      <c r="E19" s="77">
        <v>0</v>
      </c>
      <c r="F19" s="77"/>
      <c r="G19" s="77"/>
      <c r="H19" s="77"/>
      <c r="I19" s="77"/>
      <c r="J19" s="77"/>
      <c r="K19" s="77"/>
      <c r="L19" s="77">
        <v>0</v>
      </c>
      <c r="M19" s="77"/>
      <c r="N19" s="77"/>
      <c r="O19" s="71"/>
      <c r="P19" s="77"/>
      <c r="Q19" s="77"/>
      <c r="R19" s="71">
        <f t="shared" si="0"/>
        <v>0</v>
      </c>
    </row>
    <row r="20" spans="1:18" ht="14.25">
      <c r="A20" s="90" t="s">
        <v>277</v>
      </c>
      <c r="B20" s="78"/>
      <c r="C20" s="78">
        <v>0</v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68"/>
      <c r="P20" s="78"/>
      <c r="Q20" s="78"/>
      <c r="R20" s="68">
        <f t="shared" si="0"/>
        <v>0</v>
      </c>
    </row>
    <row r="21" spans="1:18" ht="14.25">
      <c r="A21" s="91" t="s">
        <v>278</v>
      </c>
      <c r="B21" s="77"/>
      <c r="C21" s="71">
        <v>0</v>
      </c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1"/>
      <c r="P21" s="77"/>
      <c r="Q21" s="77"/>
      <c r="R21" s="71">
        <f t="shared" si="0"/>
        <v>0</v>
      </c>
    </row>
    <row r="22" spans="1:18" ht="14.25">
      <c r="A22" s="91" t="s">
        <v>36</v>
      </c>
      <c r="B22" s="62"/>
      <c r="C22" s="80">
        <v>0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/>
      <c r="R22" s="73">
        <f t="shared" si="0"/>
        <v>0</v>
      </c>
    </row>
    <row r="23" spans="1:18" ht="15" thickBot="1">
      <c r="A23" s="92" t="s">
        <v>37</v>
      </c>
      <c r="B23" s="94"/>
      <c r="C23" s="81">
        <v>0</v>
      </c>
      <c r="D23" s="94">
        <v>0</v>
      </c>
      <c r="E23" s="94">
        <v>0</v>
      </c>
      <c r="F23" s="94">
        <v>0</v>
      </c>
      <c r="G23" s="94">
        <v>0</v>
      </c>
      <c r="H23" s="94">
        <v>0</v>
      </c>
      <c r="I23" s="94">
        <v>0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  <c r="Q23" s="94"/>
      <c r="R23" s="74">
        <f t="shared" si="0"/>
        <v>0</v>
      </c>
    </row>
    <row r="24" spans="1:18" ht="15" thickTop="1">
      <c r="A24" s="90" t="s">
        <v>279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84"/>
      <c r="P24" s="78"/>
      <c r="Q24" s="78"/>
      <c r="R24" s="68"/>
    </row>
    <row r="25" spans="1:18" ht="14.25">
      <c r="A25" s="91" t="s">
        <v>280</v>
      </c>
      <c r="B25" s="77"/>
      <c r="C25" s="77">
        <v>0</v>
      </c>
      <c r="D25" s="77"/>
      <c r="E25" s="77">
        <v>0</v>
      </c>
      <c r="F25" s="77"/>
      <c r="G25" s="77">
        <v>0</v>
      </c>
      <c r="H25" s="77"/>
      <c r="I25" s="77"/>
      <c r="J25" s="77"/>
      <c r="K25" s="77"/>
      <c r="L25" s="77">
        <v>0</v>
      </c>
      <c r="M25" s="77"/>
      <c r="N25" s="77"/>
      <c r="O25" s="71"/>
      <c r="P25" s="77"/>
      <c r="Q25" s="77"/>
      <c r="R25" s="71">
        <f>SUM(C25:P25)</f>
        <v>0</v>
      </c>
    </row>
    <row r="26" spans="1:18" ht="14.25">
      <c r="A26" s="91" t="s">
        <v>281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1"/>
      <c r="P26" s="77"/>
      <c r="Q26" s="77"/>
      <c r="R26" s="71">
        <f>SUM(C26:P26)</f>
        <v>0</v>
      </c>
    </row>
    <row r="27" spans="1:18" ht="14.25">
      <c r="A27" s="90" t="s">
        <v>282</v>
      </c>
      <c r="B27" s="78"/>
      <c r="C27" s="78">
        <v>0</v>
      </c>
      <c r="D27" s="78"/>
      <c r="E27" s="78">
        <v>0</v>
      </c>
      <c r="F27" s="78"/>
      <c r="G27" s="78"/>
      <c r="H27" s="78"/>
      <c r="I27" s="78"/>
      <c r="J27" s="78"/>
      <c r="K27" s="78"/>
      <c r="L27" s="78">
        <v>0</v>
      </c>
      <c r="M27" s="78"/>
      <c r="N27" s="78"/>
      <c r="O27" s="68"/>
      <c r="P27" s="78"/>
      <c r="Q27" s="78"/>
      <c r="R27" s="68"/>
    </row>
    <row r="28" spans="1:18" ht="14.25">
      <c r="A28" s="91" t="s">
        <v>36</v>
      </c>
      <c r="B28" s="62"/>
      <c r="C28" s="80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/>
      <c r="R28" s="62">
        <f>SUM(C28:P28)</f>
        <v>0</v>
      </c>
    </row>
    <row r="29" spans="1:18" ht="15" thickBot="1">
      <c r="A29" s="92" t="s">
        <v>37</v>
      </c>
      <c r="B29" s="94"/>
      <c r="C29" s="81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94">
        <v>0</v>
      </c>
      <c r="L29" s="94">
        <v>0</v>
      </c>
      <c r="M29" s="94">
        <v>0</v>
      </c>
      <c r="N29" s="94">
        <v>0</v>
      </c>
      <c r="O29" s="94">
        <v>0</v>
      </c>
      <c r="P29" s="94">
        <v>0</v>
      </c>
      <c r="Q29" s="94"/>
      <c r="R29" s="94">
        <f>SUM(C29:P29)</f>
        <v>0</v>
      </c>
    </row>
    <row r="30" spans="1:18" ht="15" thickTop="1">
      <c r="A30" s="90" t="s">
        <v>279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68"/>
      <c r="P30" s="78"/>
      <c r="Q30" s="78"/>
      <c r="R30" s="85"/>
    </row>
    <row r="31" spans="1:18" ht="14.25">
      <c r="A31" s="91" t="s">
        <v>283</v>
      </c>
      <c r="B31" s="77"/>
      <c r="C31" s="77">
        <v>0</v>
      </c>
      <c r="D31" s="77"/>
      <c r="E31" s="77">
        <v>0</v>
      </c>
      <c r="F31" s="77"/>
      <c r="G31" s="77">
        <v>0</v>
      </c>
      <c r="H31" s="77"/>
      <c r="I31" s="77">
        <v>0</v>
      </c>
      <c r="J31" s="77"/>
      <c r="K31" s="77"/>
      <c r="L31" s="77">
        <v>0</v>
      </c>
      <c r="M31" s="77"/>
      <c r="N31" s="77"/>
      <c r="O31" s="71"/>
      <c r="P31" s="77"/>
      <c r="Q31" s="77"/>
      <c r="R31" s="71">
        <f>SUM(C31:P31)</f>
        <v>0</v>
      </c>
    </row>
    <row r="32" spans="1:18" ht="14.25">
      <c r="A32" s="90" t="s">
        <v>284</v>
      </c>
      <c r="B32" s="79"/>
      <c r="C32" s="78">
        <v>0</v>
      </c>
      <c r="D32" s="78"/>
      <c r="E32" s="78">
        <v>0</v>
      </c>
      <c r="F32" s="78"/>
      <c r="G32" s="78">
        <v>0</v>
      </c>
      <c r="H32" s="78"/>
      <c r="I32" s="78">
        <v>0</v>
      </c>
      <c r="J32" s="78"/>
      <c r="K32" s="78"/>
      <c r="L32" s="78">
        <v>0</v>
      </c>
      <c r="M32" s="78"/>
      <c r="N32" s="78"/>
      <c r="O32" s="68"/>
      <c r="P32" s="78"/>
      <c r="Q32" s="78"/>
      <c r="R32" s="68">
        <f>SUM(C32:P32)</f>
        <v>0</v>
      </c>
    </row>
    <row r="33" spans="1:18" ht="14.25">
      <c r="A33" s="91" t="s">
        <v>36</v>
      </c>
      <c r="B33" s="62"/>
      <c r="C33" s="80">
        <v>0</v>
      </c>
      <c r="D33" s="62">
        <v>0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2">
        <v>0</v>
      </c>
      <c r="N33" s="62">
        <v>0</v>
      </c>
      <c r="O33" s="62">
        <v>0</v>
      </c>
      <c r="P33" s="62">
        <v>0</v>
      </c>
      <c r="Q33" s="62"/>
      <c r="R33" s="73">
        <f>SUM(C33:P33)</f>
        <v>0</v>
      </c>
    </row>
    <row r="34" spans="1:18" ht="15" thickBot="1">
      <c r="A34" s="92" t="s">
        <v>37</v>
      </c>
      <c r="B34" s="94"/>
      <c r="C34" s="74">
        <v>0</v>
      </c>
      <c r="D34" s="94">
        <v>0</v>
      </c>
      <c r="E34" s="94">
        <v>0</v>
      </c>
      <c r="F34" s="94">
        <v>0</v>
      </c>
      <c r="G34" s="94">
        <v>0</v>
      </c>
      <c r="H34" s="94">
        <v>0</v>
      </c>
      <c r="I34" s="94">
        <v>0</v>
      </c>
      <c r="J34" s="94">
        <v>0</v>
      </c>
      <c r="K34" s="94">
        <v>0</v>
      </c>
      <c r="L34" s="94">
        <v>0</v>
      </c>
      <c r="M34" s="94">
        <v>0</v>
      </c>
      <c r="N34" s="94">
        <v>0</v>
      </c>
      <c r="O34" s="94">
        <v>0</v>
      </c>
      <c r="P34" s="94">
        <v>0</v>
      </c>
      <c r="Q34" s="94"/>
      <c r="R34" s="74">
        <f>SUM(C34:P34)</f>
        <v>0</v>
      </c>
    </row>
    <row r="35" ht="15" thickTop="1">
      <c r="C35" s="189"/>
    </row>
    <row r="41" spans="1:18" s="65" customFormat="1" ht="14.25">
      <c r="A41" s="66" t="s">
        <v>118</v>
      </c>
      <c r="B41" s="357" t="s">
        <v>95</v>
      </c>
      <c r="C41" s="358" t="s">
        <v>96</v>
      </c>
      <c r="D41" s="358"/>
      <c r="E41" s="358"/>
      <c r="F41" s="88" t="s">
        <v>97</v>
      </c>
      <c r="G41" s="358" t="s">
        <v>98</v>
      </c>
      <c r="H41" s="358"/>
      <c r="I41" s="358" t="s">
        <v>99</v>
      </c>
      <c r="J41" s="358"/>
      <c r="K41" s="88" t="s">
        <v>100</v>
      </c>
      <c r="L41" s="358" t="s">
        <v>101</v>
      </c>
      <c r="M41" s="358"/>
      <c r="N41" s="358" t="s">
        <v>102</v>
      </c>
      <c r="O41" s="358"/>
      <c r="P41" s="359" t="s">
        <v>116</v>
      </c>
      <c r="Q41" s="360"/>
      <c r="R41" s="355" t="s">
        <v>19</v>
      </c>
    </row>
    <row r="42" spans="1:18" s="65" customFormat="1" ht="14.25">
      <c r="A42" s="67" t="s">
        <v>119</v>
      </c>
      <c r="B42" s="357"/>
      <c r="C42" s="88" t="s">
        <v>103</v>
      </c>
      <c r="D42" s="88" t="s">
        <v>114</v>
      </c>
      <c r="E42" s="88" t="s">
        <v>104</v>
      </c>
      <c r="F42" s="88" t="s">
        <v>105</v>
      </c>
      <c r="G42" s="88" t="s">
        <v>106</v>
      </c>
      <c r="H42" s="88" t="s">
        <v>107</v>
      </c>
      <c r="I42" s="88" t="s">
        <v>108</v>
      </c>
      <c r="J42" s="88" t="s">
        <v>109</v>
      </c>
      <c r="K42" s="88" t="s">
        <v>115</v>
      </c>
      <c r="L42" s="88" t="s">
        <v>110</v>
      </c>
      <c r="M42" s="88" t="s">
        <v>111</v>
      </c>
      <c r="N42" s="88" t="s">
        <v>112</v>
      </c>
      <c r="O42" s="88" t="s">
        <v>113</v>
      </c>
      <c r="P42" s="88" t="s">
        <v>336</v>
      </c>
      <c r="Q42" s="201" t="s">
        <v>117</v>
      </c>
      <c r="R42" s="356"/>
    </row>
    <row r="43" spans="1:18" ht="14.25">
      <c r="A43" s="93" t="s">
        <v>279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</row>
    <row r="44" spans="1:18" ht="14.25">
      <c r="A44" s="91" t="s">
        <v>285</v>
      </c>
      <c r="B44" s="71"/>
      <c r="C44" s="71">
        <v>0</v>
      </c>
      <c r="D44" s="71"/>
      <c r="E44" s="71">
        <v>0</v>
      </c>
      <c r="F44" s="71"/>
      <c r="G44" s="71">
        <v>0</v>
      </c>
      <c r="H44" s="71">
        <v>0</v>
      </c>
      <c r="I44" s="71">
        <v>0</v>
      </c>
      <c r="J44" s="71"/>
      <c r="K44" s="71"/>
      <c r="L44" s="71">
        <v>0</v>
      </c>
      <c r="M44" s="71"/>
      <c r="N44" s="71"/>
      <c r="O44" s="71"/>
      <c r="P44" s="71"/>
      <c r="Q44" s="71"/>
      <c r="R44" s="71">
        <f>SUM(C44:P44)</f>
        <v>0</v>
      </c>
    </row>
    <row r="45" spans="1:18" ht="14.25">
      <c r="A45" s="95" t="s">
        <v>286</v>
      </c>
      <c r="B45" s="68"/>
      <c r="C45" s="68">
        <v>0</v>
      </c>
      <c r="D45" s="68"/>
      <c r="E45" s="68">
        <v>0</v>
      </c>
      <c r="F45" s="68"/>
      <c r="G45" s="68"/>
      <c r="H45" s="68"/>
      <c r="I45" s="68"/>
      <c r="J45" s="68"/>
      <c r="K45" s="68"/>
      <c r="L45" s="68">
        <v>0</v>
      </c>
      <c r="M45" s="68"/>
      <c r="N45" s="68"/>
      <c r="O45" s="68"/>
      <c r="P45" s="68"/>
      <c r="Q45" s="68"/>
      <c r="R45" s="68">
        <f>SUM(C45:P45)</f>
        <v>0</v>
      </c>
    </row>
    <row r="46" spans="1:18" ht="14.25">
      <c r="A46" s="91" t="s">
        <v>36</v>
      </c>
      <c r="B46" s="62"/>
      <c r="C46" s="73">
        <v>0</v>
      </c>
      <c r="D46" s="62">
        <v>0</v>
      </c>
      <c r="E46" s="62">
        <v>0</v>
      </c>
      <c r="F46" s="62">
        <v>0</v>
      </c>
      <c r="G46" s="62">
        <f>SUM(G44)</f>
        <v>0</v>
      </c>
      <c r="H46" s="62">
        <f>SUM(H44:H45)</f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62">
        <v>0</v>
      </c>
      <c r="Q46" s="62"/>
      <c r="R46" s="62">
        <f>SUM(C46:P46)</f>
        <v>0</v>
      </c>
    </row>
    <row r="47" spans="1:18" ht="15" thickBot="1">
      <c r="A47" s="92" t="s">
        <v>37</v>
      </c>
      <c r="B47" s="94"/>
      <c r="C47" s="74">
        <v>0</v>
      </c>
      <c r="D47" s="62">
        <v>0</v>
      </c>
      <c r="E47" s="62">
        <v>0</v>
      </c>
      <c r="F47" s="62">
        <v>0</v>
      </c>
      <c r="G47" s="62">
        <v>0</v>
      </c>
      <c r="H47" s="62">
        <v>0</v>
      </c>
      <c r="I47" s="62">
        <v>0</v>
      </c>
      <c r="J47" s="62">
        <v>0</v>
      </c>
      <c r="K47" s="62">
        <v>0</v>
      </c>
      <c r="L47" s="62">
        <v>0</v>
      </c>
      <c r="M47" s="62">
        <v>0</v>
      </c>
      <c r="N47" s="62">
        <v>0</v>
      </c>
      <c r="O47" s="62">
        <v>0</v>
      </c>
      <c r="P47" s="62">
        <v>0</v>
      </c>
      <c r="Q47" s="62"/>
      <c r="R47" s="62">
        <f>SUM(C47:P47)</f>
        <v>0</v>
      </c>
    </row>
    <row r="48" spans="1:18" ht="15" thickTop="1">
      <c r="A48" s="93" t="s">
        <v>287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6"/>
      <c r="P48" s="75"/>
      <c r="Q48" s="75"/>
      <c r="R48" s="76"/>
    </row>
    <row r="49" spans="1:18" ht="14.25">
      <c r="A49" s="91" t="s">
        <v>288</v>
      </c>
      <c r="B49" s="77"/>
      <c r="C49" s="77">
        <v>0</v>
      </c>
      <c r="D49" s="77"/>
      <c r="E49" s="77"/>
      <c r="F49" s="77"/>
      <c r="G49" s="77"/>
      <c r="H49" s="77"/>
      <c r="I49" s="77" t="s">
        <v>264</v>
      </c>
      <c r="J49" s="77"/>
      <c r="K49" s="77"/>
      <c r="L49" s="77">
        <v>0</v>
      </c>
      <c r="M49" s="77">
        <v>0</v>
      </c>
      <c r="N49" s="77"/>
      <c r="O49" s="71"/>
      <c r="P49" s="77"/>
      <c r="Q49" s="77"/>
      <c r="R49" s="71">
        <f aca="true" t="shared" si="1" ref="R49:R55">SUM(C49:P49)</f>
        <v>0</v>
      </c>
    </row>
    <row r="50" spans="1:18" ht="14.25">
      <c r="A50" s="90" t="s">
        <v>289</v>
      </c>
      <c r="B50" s="78"/>
      <c r="C50" s="78">
        <v>0</v>
      </c>
      <c r="D50" s="78"/>
      <c r="E50" s="78">
        <v>0</v>
      </c>
      <c r="F50" s="78"/>
      <c r="G50" s="78"/>
      <c r="H50" s="78"/>
      <c r="I50" s="78"/>
      <c r="J50" s="78"/>
      <c r="K50" s="78"/>
      <c r="L50" s="78"/>
      <c r="M50" s="78"/>
      <c r="N50" s="78"/>
      <c r="O50" s="68"/>
      <c r="P50" s="78"/>
      <c r="Q50" s="78"/>
      <c r="R50" s="68">
        <f t="shared" si="1"/>
        <v>0</v>
      </c>
    </row>
    <row r="51" spans="1:18" ht="14.25">
      <c r="A51" s="91" t="s">
        <v>290</v>
      </c>
      <c r="B51" s="77"/>
      <c r="C51" s="77">
        <v>0</v>
      </c>
      <c r="D51" s="77"/>
      <c r="E51" s="77">
        <v>0</v>
      </c>
      <c r="F51" s="77"/>
      <c r="G51" s="77">
        <v>0</v>
      </c>
      <c r="H51" s="77"/>
      <c r="I51" s="77"/>
      <c r="J51" s="77"/>
      <c r="K51" s="77"/>
      <c r="L51" s="77">
        <v>0</v>
      </c>
      <c r="M51" s="77"/>
      <c r="N51" s="77"/>
      <c r="O51" s="71"/>
      <c r="P51" s="77"/>
      <c r="Q51" s="77"/>
      <c r="R51" s="71">
        <f>SUM(C51:Q51)</f>
        <v>0</v>
      </c>
    </row>
    <row r="52" spans="1:18" ht="14.25">
      <c r="A52" s="91" t="s">
        <v>291</v>
      </c>
      <c r="B52" s="77"/>
      <c r="C52" s="77">
        <v>0</v>
      </c>
      <c r="D52" s="77"/>
      <c r="E52" s="77"/>
      <c r="F52" s="77">
        <v>0</v>
      </c>
      <c r="G52" s="77">
        <v>0</v>
      </c>
      <c r="H52" s="77"/>
      <c r="I52" s="77"/>
      <c r="J52" s="77"/>
      <c r="K52" s="77"/>
      <c r="L52" s="77">
        <v>0</v>
      </c>
      <c r="M52" s="77"/>
      <c r="N52" s="192"/>
      <c r="O52" s="71"/>
      <c r="P52" s="77"/>
      <c r="Q52" s="77"/>
      <c r="R52" s="71">
        <f t="shared" si="1"/>
        <v>0</v>
      </c>
    </row>
    <row r="53" spans="1:18" ht="14.25">
      <c r="A53" s="126" t="s">
        <v>292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193"/>
      <c r="O53" s="72"/>
      <c r="P53" s="79"/>
      <c r="Q53" s="79"/>
      <c r="R53" s="87"/>
    </row>
    <row r="54" spans="1:18" ht="14.25">
      <c r="A54" s="91" t="s">
        <v>36</v>
      </c>
      <c r="B54" s="62"/>
      <c r="C54" s="80">
        <v>0</v>
      </c>
      <c r="D54" s="62">
        <v>0</v>
      </c>
      <c r="E54" s="62">
        <v>0</v>
      </c>
      <c r="F54" s="62">
        <v>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62">
        <f>SUM(M49:M52)</f>
        <v>0</v>
      </c>
      <c r="N54" s="62">
        <v>0</v>
      </c>
      <c r="O54" s="62">
        <v>0</v>
      </c>
      <c r="P54" s="62">
        <v>0</v>
      </c>
      <c r="Q54" s="62"/>
      <c r="R54" s="73">
        <f t="shared" si="1"/>
        <v>0</v>
      </c>
    </row>
    <row r="55" spans="1:18" ht="15" thickBot="1">
      <c r="A55" s="92" t="s">
        <v>37</v>
      </c>
      <c r="B55" s="94"/>
      <c r="C55" s="81">
        <v>0</v>
      </c>
      <c r="D55" s="94">
        <v>0</v>
      </c>
      <c r="E55" s="94">
        <v>0</v>
      </c>
      <c r="F55" s="94">
        <v>0</v>
      </c>
      <c r="G55" s="94">
        <v>0</v>
      </c>
      <c r="H55" s="94">
        <v>0</v>
      </c>
      <c r="I55" s="94">
        <v>0</v>
      </c>
      <c r="J55" s="94">
        <v>0</v>
      </c>
      <c r="K55" s="94">
        <v>0</v>
      </c>
      <c r="L55" s="94">
        <v>0</v>
      </c>
      <c r="M55" s="94">
        <v>0</v>
      </c>
      <c r="N55" s="94">
        <v>0</v>
      </c>
      <c r="O55" s="62">
        <v>0</v>
      </c>
      <c r="P55" s="94">
        <v>0</v>
      </c>
      <c r="Q55" s="94"/>
      <c r="R55" s="74">
        <f t="shared" si="1"/>
        <v>0</v>
      </c>
    </row>
    <row r="56" spans="1:18" ht="15" thickTop="1">
      <c r="A56" s="95" t="s">
        <v>293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 t="s">
        <v>588</v>
      </c>
      <c r="M56" s="83"/>
      <c r="N56" s="84"/>
      <c r="O56" s="85"/>
      <c r="P56" s="84"/>
      <c r="Q56" s="84"/>
      <c r="R56" s="85"/>
    </row>
    <row r="57" spans="1:18" ht="14.25">
      <c r="A57" s="95" t="s">
        <v>294</v>
      </c>
      <c r="B57" s="225" t="s">
        <v>457</v>
      </c>
      <c r="C57" s="83">
        <v>0</v>
      </c>
      <c r="D57" s="83"/>
      <c r="E57" s="83">
        <v>0</v>
      </c>
      <c r="F57" s="83"/>
      <c r="G57" s="83">
        <v>0</v>
      </c>
      <c r="H57" s="83"/>
      <c r="I57" s="83"/>
      <c r="J57" s="83"/>
      <c r="K57" s="83"/>
      <c r="L57" s="83"/>
      <c r="M57" s="83"/>
      <c r="N57" s="83"/>
      <c r="O57" s="84"/>
      <c r="P57" s="83"/>
      <c r="Q57" s="83"/>
      <c r="R57" s="84">
        <f>SUM(C57:P57)</f>
        <v>0</v>
      </c>
    </row>
    <row r="58" spans="1:18" ht="14.25">
      <c r="A58" s="91" t="s">
        <v>295</v>
      </c>
      <c r="B58" s="77"/>
      <c r="C58" s="77">
        <v>0</v>
      </c>
      <c r="D58" s="77"/>
      <c r="E58" s="77" t="s">
        <v>472</v>
      </c>
      <c r="F58" s="77"/>
      <c r="G58" s="77"/>
      <c r="H58" s="77"/>
      <c r="I58" s="77"/>
      <c r="J58" s="77"/>
      <c r="K58" s="77"/>
      <c r="L58" s="77"/>
      <c r="M58" s="77"/>
      <c r="N58" s="77"/>
      <c r="O58" s="71"/>
      <c r="P58" s="77"/>
      <c r="Q58" s="77"/>
      <c r="R58" s="71">
        <f>SUM(C58:Q58)</f>
        <v>0</v>
      </c>
    </row>
    <row r="59" spans="1:18" ht="14.25">
      <c r="A59" s="95" t="s">
        <v>296</v>
      </c>
      <c r="B59" s="77"/>
      <c r="C59" s="77">
        <v>0</v>
      </c>
      <c r="D59" s="77"/>
      <c r="E59" s="77">
        <v>0</v>
      </c>
      <c r="F59" s="77">
        <v>0</v>
      </c>
      <c r="G59" s="77">
        <v>0</v>
      </c>
      <c r="H59" s="77">
        <v>0</v>
      </c>
      <c r="I59" s="77"/>
      <c r="J59" s="77">
        <v>0</v>
      </c>
      <c r="K59" s="77"/>
      <c r="L59" s="77"/>
      <c r="M59" s="77"/>
      <c r="N59" s="77">
        <v>0</v>
      </c>
      <c r="O59" s="71">
        <v>0</v>
      </c>
      <c r="P59" s="77"/>
      <c r="Q59" s="77"/>
      <c r="R59" s="71">
        <f>SUM(C59:Q59)</f>
        <v>0</v>
      </c>
    </row>
    <row r="60" spans="1:18" ht="14.25">
      <c r="A60" s="95" t="s">
        <v>297</v>
      </c>
      <c r="B60" s="77"/>
      <c r="C60" s="77">
        <v>0</v>
      </c>
      <c r="D60" s="77"/>
      <c r="E60" s="77">
        <v>0</v>
      </c>
      <c r="F60" s="77"/>
      <c r="G60" s="77">
        <v>0</v>
      </c>
      <c r="H60" s="77"/>
      <c r="I60" s="77"/>
      <c r="J60" s="77"/>
      <c r="K60" s="77"/>
      <c r="L60" s="77">
        <v>0</v>
      </c>
      <c r="M60" s="77"/>
      <c r="N60" s="77"/>
      <c r="O60" s="71"/>
      <c r="P60" s="77"/>
      <c r="Q60" s="77"/>
      <c r="R60" s="71">
        <f>SUM(C60:Q60)</f>
        <v>0</v>
      </c>
    </row>
    <row r="61" spans="1:18" ht="14.25">
      <c r="A61" s="91" t="s">
        <v>36</v>
      </c>
      <c r="B61" s="62"/>
      <c r="C61" s="80">
        <v>0</v>
      </c>
      <c r="D61" s="62">
        <v>0</v>
      </c>
      <c r="E61" s="62">
        <f>SUM(E59:E60)</f>
        <v>0</v>
      </c>
      <c r="F61" s="62">
        <f>SUM(F59)</f>
        <v>0</v>
      </c>
      <c r="G61" s="62">
        <f>SUM(G57)</f>
        <v>0</v>
      </c>
      <c r="H61" s="62">
        <v>0</v>
      </c>
      <c r="I61" s="62">
        <v>0</v>
      </c>
      <c r="J61" s="62">
        <v>0</v>
      </c>
      <c r="K61" s="62">
        <v>0</v>
      </c>
      <c r="L61" s="62">
        <f>SUM(L57:L60)</f>
        <v>0</v>
      </c>
      <c r="M61" s="62">
        <v>0</v>
      </c>
      <c r="N61" s="62">
        <v>0</v>
      </c>
      <c r="O61" s="62">
        <f>SUM(O57:O60)</f>
        <v>0</v>
      </c>
      <c r="P61" s="62">
        <v>0</v>
      </c>
      <c r="Q61" s="62"/>
      <c r="R61" s="73">
        <f>SUM(C61:P61)</f>
        <v>0</v>
      </c>
    </row>
    <row r="62" spans="1:18" ht="15" thickBot="1">
      <c r="A62" s="92" t="s">
        <v>37</v>
      </c>
      <c r="B62" s="94"/>
      <c r="C62" s="81">
        <v>0</v>
      </c>
      <c r="D62" s="94">
        <v>0</v>
      </c>
      <c r="E62" s="94">
        <v>0</v>
      </c>
      <c r="F62" s="94">
        <v>0</v>
      </c>
      <c r="G62" s="94">
        <v>0</v>
      </c>
      <c r="H62" s="94">
        <v>0</v>
      </c>
      <c r="I62" s="94">
        <v>0</v>
      </c>
      <c r="J62" s="94">
        <v>0</v>
      </c>
      <c r="K62" s="94">
        <v>0</v>
      </c>
      <c r="L62" s="94">
        <f>SUM(L61)</f>
        <v>0</v>
      </c>
      <c r="M62" s="94">
        <v>0</v>
      </c>
      <c r="N62" s="94">
        <v>0</v>
      </c>
      <c r="O62" s="94">
        <v>0</v>
      </c>
      <c r="P62" s="94">
        <v>0</v>
      </c>
      <c r="Q62" s="94"/>
      <c r="R62" s="74">
        <f>SUM(C62:Q62)</f>
        <v>0</v>
      </c>
    </row>
    <row r="63" spans="1:18" ht="15" thickTop="1">
      <c r="A63" s="95" t="s">
        <v>298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4"/>
      <c r="O63" s="85"/>
      <c r="P63" s="84"/>
      <c r="Q63" s="84"/>
      <c r="R63" s="85"/>
    </row>
    <row r="64" spans="1:18" ht="14.25">
      <c r="A64" s="95" t="s">
        <v>299</v>
      </c>
      <c r="B64" s="83"/>
      <c r="C64" s="83">
        <v>0</v>
      </c>
      <c r="D64" s="83"/>
      <c r="E64" s="83">
        <v>0</v>
      </c>
      <c r="F64" s="83"/>
      <c r="G64" s="83">
        <v>0</v>
      </c>
      <c r="H64" s="83"/>
      <c r="I64" s="83"/>
      <c r="J64" s="83"/>
      <c r="K64" s="83"/>
      <c r="L64" s="83"/>
      <c r="M64" s="83"/>
      <c r="N64" s="83"/>
      <c r="O64" s="84"/>
      <c r="P64" s="83"/>
      <c r="Q64" s="83"/>
      <c r="R64" s="84">
        <f>SUM(C64:P64)</f>
        <v>0</v>
      </c>
    </row>
    <row r="65" spans="1:18" ht="14.25">
      <c r="A65" s="91" t="s">
        <v>300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1"/>
      <c r="P65" s="77"/>
      <c r="Q65" s="77"/>
      <c r="R65" s="71"/>
    </row>
    <row r="66" spans="1:18" ht="14.25">
      <c r="A66" s="95" t="s">
        <v>301</v>
      </c>
      <c r="B66" s="77"/>
      <c r="C66" s="77"/>
      <c r="D66" s="77"/>
      <c r="E66" s="77">
        <v>0</v>
      </c>
      <c r="F66" s="77"/>
      <c r="G66" s="77"/>
      <c r="H66" s="77">
        <v>0</v>
      </c>
      <c r="I66" s="77"/>
      <c r="J66" s="77"/>
      <c r="K66" s="77"/>
      <c r="L66" s="77"/>
      <c r="M66" s="77"/>
      <c r="N66" s="77"/>
      <c r="O66" s="71"/>
      <c r="P66" s="77"/>
      <c r="Q66" s="77"/>
      <c r="R66" s="71">
        <f>SUM(C66:P66)</f>
        <v>0</v>
      </c>
    </row>
    <row r="67" spans="1:18" ht="14.25">
      <c r="A67" s="95" t="s">
        <v>302</v>
      </c>
      <c r="B67" s="77"/>
      <c r="C67" s="77"/>
      <c r="D67" s="77"/>
      <c r="E67" s="77"/>
      <c r="F67" s="77"/>
      <c r="G67" s="77"/>
      <c r="H67" s="77">
        <v>0</v>
      </c>
      <c r="I67" s="77"/>
      <c r="J67" s="77"/>
      <c r="K67" s="77"/>
      <c r="L67" s="77"/>
      <c r="M67" s="77"/>
      <c r="N67" s="77"/>
      <c r="O67" s="71"/>
      <c r="P67" s="77"/>
      <c r="Q67" s="77"/>
      <c r="R67" s="71">
        <f>SUM(H67:Q67)</f>
        <v>0</v>
      </c>
    </row>
    <row r="68" spans="1:18" ht="14.25">
      <c r="A68" s="95" t="s">
        <v>303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1"/>
      <c r="P68" s="77"/>
      <c r="Q68" s="77"/>
      <c r="R68" s="71"/>
    </row>
    <row r="69" spans="1:18" ht="14.25">
      <c r="A69" s="95" t="s">
        <v>304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>
        <v>0</v>
      </c>
      <c r="M69" s="77"/>
      <c r="N69" s="77"/>
      <c r="O69" s="71"/>
      <c r="P69" s="77"/>
      <c r="Q69" s="77"/>
      <c r="R69" s="71">
        <f>SUM(L69:Q69)</f>
        <v>0</v>
      </c>
    </row>
    <row r="70" spans="1:18" ht="14.25">
      <c r="A70" s="95" t="s">
        <v>305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1"/>
      <c r="P70" s="77"/>
      <c r="Q70" s="77"/>
      <c r="R70" s="71"/>
    </row>
    <row r="71" spans="1:18" ht="14.25">
      <c r="A71" s="95" t="s">
        <v>306</v>
      </c>
      <c r="B71" s="77"/>
      <c r="C71" s="77">
        <v>0</v>
      </c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1"/>
      <c r="P71" s="77"/>
      <c r="Q71" s="77"/>
      <c r="R71" s="71">
        <f>SUM(C71:Q71)</f>
        <v>0</v>
      </c>
    </row>
    <row r="72" spans="1:18" ht="14.25">
      <c r="A72" s="95" t="s">
        <v>307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1"/>
      <c r="P72" s="77"/>
      <c r="Q72" s="77"/>
      <c r="R72" s="71">
        <v>0</v>
      </c>
    </row>
    <row r="73" spans="1:18" ht="14.25">
      <c r="A73" s="95" t="s">
        <v>308</v>
      </c>
      <c r="B73" s="77"/>
      <c r="C73" s="77">
        <v>0</v>
      </c>
      <c r="D73" s="77"/>
      <c r="E73" s="77">
        <v>0</v>
      </c>
      <c r="F73" s="77"/>
      <c r="G73" s="77"/>
      <c r="H73" s="77"/>
      <c r="I73" s="77"/>
      <c r="J73" s="77"/>
      <c r="K73" s="77"/>
      <c r="L73" s="77">
        <v>0</v>
      </c>
      <c r="M73" s="77"/>
      <c r="N73" s="77"/>
      <c r="O73" s="71"/>
      <c r="P73" s="77"/>
      <c r="Q73" s="77"/>
      <c r="R73" s="71">
        <f>SUM(C73:E73)</f>
        <v>0</v>
      </c>
    </row>
    <row r="74" spans="1:18" ht="14.25">
      <c r="A74" s="95" t="s">
        <v>309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1"/>
      <c r="P74" s="77"/>
      <c r="Q74" s="77"/>
      <c r="R74" s="71"/>
    </row>
    <row r="75" spans="1:18" ht="14.25">
      <c r="A75" s="95" t="s">
        <v>310</v>
      </c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1"/>
      <c r="P75" s="77"/>
      <c r="Q75" s="77"/>
      <c r="R75" s="71"/>
    </row>
    <row r="76" spans="1:18" ht="14.25">
      <c r="A76" s="91" t="s">
        <v>36</v>
      </c>
      <c r="B76" s="62"/>
      <c r="C76" s="80">
        <f>SUM(C64:C75)</f>
        <v>0</v>
      </c>
      <c r="D76" s="62">
        <f>SUM(D66:D75)</f>
        <v>0</v>
      </c>
      <c r="E76" s="62">
        <f>SUM(E64:E75)</f>
        <v>0</v>
      </c>
      <c r="F76" s="62">
        <v>0</v>
      </c>
      <c r="G76" s="62">
        <f>SUM(G64)</f>
        <v>0</v>
      </c>
      <c r="H76" s="62">
        <f>SUM(H64:H75)</f>
        <v>0</v>
      </c>
      <c r="I76" s="62">
        <v>0</v>
      </c>
      <c r="J76" s="62">
        <v>0</v>
      </c>
      <c r="K76" s="62">
        <v>0</v>
      </c>
      <c r="L76" s="62">
        <f>SUM(L65:L75)</f>
        <v>0</v>
      </c>
      <c r="M76" s="62">
        <v>0</v>
      </c>
      <c r="N76" s="62">
        <v>0</v>
      </c>
      <c r="O76" s="62">
        <v>0</v>
      </c>
      <c r="P76" s="62">
        <v>0</v>
      </c>
      <c r="Q76" s="62"/>
      <c r="R76" s="73">
        <f>SUM(R64:R75)</f>
        <v>0</v>
      </c>
    </row>
    <row r="77" spans="1:18" ht="15" thickBot="1">
      <c r="A77" s="92" t="s">
        <v>37</v>
      </c>
      <c r="B77" s="94"/>
      <c r="C77" s="81">
        <v>0</v>
      </c>
      <c r="D77" s="94">
        <v>0</v>
      </c>
      <c r="E77" s="94">
        <v>0</v>
      </c>
      <c r="F77" s="94">
        <v>0</v>
      </c>
      <c r="G77" s="94">
        <v>0</v>
      </c>
      <c r="H77" s="94">
        <v>0</v>
      </c>
      <c r="I77" s="94">
        <v>0</v>
      </c>
      <c r="J77" s="94">
        <v>0</v>
      </c>
      <c r="K77" s="94">
        <v>0</v>
      </c>
      <c r="L77" s="94">
        <v>0</v>
      </c>
      <c r="M77" s="94">
        <v>0</v>
      </c>
      <c r="N77" s="94">
        <v>0</v>
      </c>
      <c r="O77" s="94">
        <v>0</v>
      </c>
      <c r="P77" s="94">
        <v>0</v>
      </c>
      <c r="Q77" s="94"/>
      <c r="R77" s="74">
        <f>SUM(C77:Q77)</f>
        <v>0</v>
      </c>
    </row>
    <row r="78" ht="15" thickTop="1"/>
    <row r="81" spans="1:18" s="65" customFormat="1" ht="13.5" customHeight="1">
      <c r="A81" s="66" t="s">
        <v>118</v>
      </c>
      <c r="B81" s="357" t="s">
        <v>95</v>
      </c>
      <c r="C81" s="358" t="s">
        <v>96</v>
      </c>
      <c r="D81" s="358"/>
      <c r="E81" s="358"/>
      <c r="F81" s="88" t="s">
        <v>97</v>
      </c>
      <c r="G81" s="358" t="s">
        <v>98</v>
      </c>
      <c r="H81" s="358"/>
      <c r="I81" s="358" t="s">
        <v>99</v>
      </c>
      <c r="J81" s="358"/>
      <c r="K81" s="88" t="s">
        <v>100</v>
      </c>
      <c r="L81" s="358" t="s">
        <v>101</v>
      </c>
      <c r="M81" s="358"/>
      <c r="N81" s="358" t="s">
        <v>102</v>
      </c>
      <c r="O81" s="358"/>
      <c r="P81" s="359" t="s">
        <v>116</v>
      </c>
      <c r="Q81" s="360"/>
      <c r="R81" s="355" t="s">
        <v>19</v>
      </c>
    </row>
    <row r="82" spans="1:18" s="65" customFormat="1" ht="13.5" customHeight="1">
      <c r="A82" s="67" t="s">
        <v>119</v>
      </c>
      <c r="B82" s="357"/>
      <c r="C82" s="88" t="s">
        <v>103</v>
      </c>
      <c r="D82" s="88" t="s">
        <v>114</v>
      </c>
      <c r="E82" s="88" t="s">
        <v>104</v>
      </c>
      <c r="F82" s="88" t="s">
        <v>105</v>
      </c>
      <c r="G82" s="88" t="s">
        <v>106</v>
      </c>
      <c r="H82" s="88" t="s">
        <v>107</v>
      </c>
      <c r="I82" s="88" t="s">
        <v>108</v>
      </c>
      <c r="J82" s="88" t="s">
        <v>109</v>
      </c>
      <c r="K82" s="88" t="s">
        <v>115</v>
      </c>
      <c r="L82" s="88" t="s">
        <v>110</v>
      </c>
      <c r="M82" s="88" t="s">
        <v>111</v>
      </c>
      <c r="N82" s="88" t="s">
        <v>112</v>
      </c>
      <c r="O82" s="88" t="s">
        <v>113</v>
      </c>
      <c r="P82" s="88" t="s">
        <v>336</v>
      </c>
      <c r="Q82" s="201" t="s">
        <v>117</v>
      </c>
      <c r="R82" s="356"/>
    </row>
    <row r="83" spans="1:18" ht="13.5" customHeight="1">
      <c r="A83" s="93" t="s">
        <v>311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</row>
    <row r="84" spans="1:18" ht="13.5" customHeight="1">
      <c r="A84" s="95" t="s">
        <v>312</v>
      </c>
      <c r="B84" s="68"/>
      <c r="C84" s="68">
        <v>0</v>
      </c>
      <c r="D84" s="68"/>
      <c r="E84" s="68"/>
      <c r="F84" s="68"/>
      <c r="G84" s="68">
        <v>0</v>
      </c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>
        <f>SUM(C84:P84)</f>
        <v>0</v>
      </c>
    </row>
    <row r="85" spans="1:18" ht="13.5" customHeight="1">
      <c r="A85" s="91" t="s">
        <v>313</v>
      </c>
      <c r="B85" s="71"/>
      <c r="C85" s="71">
        <v>0</v>
      </c>
      <c r="D85" s="71"/>
      <c r="E85" s="71"/>
      <c r="F85" s="71"/>
      <c r="G85" s="71">
        <v>0</v>
      </c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>
        <f>SUM(C85:P85)</f>
        <v>0</v>
      </c>
    </row>
    <row r="86" spans="1:18" ht="13.5" customHeight="1">
      <c r="A86" s="91" t="s">
        <v>314</v>
      </c>
      <c r="B86" s="71"/>
      <c r="C86" s="71">
        <v>0</v>
      </c>
      <c r="D86" s="71"/>
      <c r="E86" s="71"/>
      <c r="F86" s="71"/>
      <c r="G86" s="71">
        <v>0</v>
      </c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>
        <f>SUM(C86:P86)</f>
        <v>0</v>
      </c>
    </row>
    <row r="87" spans="1:18" ht="13.5" customHeight="1">
      <c r="A87" s="90" t="s">
        <v>315</v>
      </c>
      <c r="B87" s="71"/>
      <c r="C87" s="71">
        <v>0</v>
      </c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</row>
    <row r="88" spans="1:18" ht="13.5" customHeight="1">
      <c r="A88" s="91" t="s">
        <v>316</v>
      </c>
      <c r="B88" s="72"/>
      <c r="C88" s="72">
        <v>0</v>
      </c>
      <c r="D88" s="72"/>
      <c r="E88" s="72"/>
      <c r="F88" s="72"/>
      <c r="G88" s="72">
        <v>0</v>
      </c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>
        <f>SUM(C88:P88)</f>
        <v>0</v>
      </c>
    </row>
    <row r="89" spans="1:18" ht="13.5" customHeight="1">
      <c r="A89" s="91" t="s">
        <v>36</v>
      </c>
      <c r="B89" s="62"/>
      <c r="C89" s="62">
        <v>0</v>
      </c>
      <c r="D89" s="62">
        <v>0</v>
      </c>
      <c r="E89" s="62">
        <v>0</v>
      </c>
      <c r="F89" s="62">
        <v>0</v>
      </c>
      <c r="G89" s="62">
        <v>0</v>
      </c>
      <c r="H89" s="62">
        <v>0</v>
      </c>
      <c r="I89" s="62">
        <v>0</v>
      </c>
      <c r="J89" s="62">
        <v>0</v>
      </c>
      <c r="K89" s="62">
        <v>0</v>
      </c>
      <c r="L89" s="62">
        <v>0</v>
      </c>
      <c r="M89" s="62">
        <v>0</v>
      </c>
      <c r="N89" s="62">
        <v>0</v>
      </c>
      <c r="O89" s="62">
        <v>0</v>
      </c>
      <c r="P89" s="62">
        <v>0</v>
      </c>
      <c r="Q89" s="62"/>
      <c r="R89" s="73">
        <f>SUM(C89:P89)</f>
        <v>0</v>
      </c>
    </row>
    <row r="90" spans="1:18" ht="13.5" customHeight="1" thickBot="1">
      <c r="A90" s="92" t="s">
        <v>37</v>
      </c>
      <c r="B90" s="62"/>
      <c r="C90" s="62">
        <v>0</v>
      </c>
      <c r="D90" s="62">
        <v>0</v>
      </c>
      <c r="E90" s="62">
        <v>0</v>
      </c>
      <c r="F90" s="62">
        <v>0</v>
      </c>
      <c r="G90" s="62">
        <v>0</v>
      </c>
      <c r="H90" s="62">
        <v>0</v>
      </c>
      <c r="I90" s="62">
        <v>0</v>
      </c>
      <c r="J90" s="62">
        <v>0</v>
      </c>
      <c r="K90" s="62">
        <v>0</v>
      </c>
      <c r="L90" s="62">
        <v>0</v>
      </c>
      <c r="M90" s="62">
        <v>0</v>
      </c>
      <c r="N90" s="62">
        <v>0</v>
      </c>
      <c r="O90" s="62">
        <v>0</v>
      </c>
      <c r="P90" s="62">
        <v>0</v>
      </c>
      <c r="Q90" s="199"/>
      <c r="R90" s="74">
        <f>SUM(C90:P90)</f>
        <v>0</v>
      </c>
    </row>
    <row r="91" spans="1:18" ht="13.5" customHeight="1" thickTop="1">
      <c r="A91" s="93" t="s">
        <v>317</v>
      </c>
      <c r="B91" s="75"/>
      <c r="C91" s="75"/>
      <c r="D91" s="75"/>
      <c r="E91" s="75"/>
      <c r="F91" s="75"/>
      <c r="G91" s="75"/>
      <c r="H91" s="75"/>
      <c r="I91" s="75"/>
      <c r="J91" s="85"/>
      <c r="K91" s="75"/>
      <c r="L91" s="75"/>
      <c r="M91" s="75"/>
      <c r="N91" s="75"/>
      <c r="O91" s="76"/>
      <c r="P91" s="75"/>
      <c r="Q91" s="75"/>
      <c r="R91" s="76"/>
    </row>
    <row r="92" spans="1:18" ht="13.5" customHeight="1">
      <c r="A92" s="91" t="s">
        <v>318</v>
      </c>
      <c r="B92" s="77"/>
      <c r="C92" s="77"/>
      <c r="D92" s="77"/>
      <c r="E92" s="77"/>
      <c r="F92" s="77"/>
      <c r="G92" s="77"/>
      <c r="H92" s="77"/>
      <c r="I92" s="77"/>
      <c r="J92" s="83"/>
      <c r="K92" s="77"/>
      <c r="L92" s="77"/>
      <c r="M92" s="77"/>
      <c r="N92" s="77"/>
      <c r="O92" s="71"/>
      <c r="P92" s="77"/>
      <c r="Q92" s="77"/>
      <c r="R92" s="71"/>
    </row>
    <row r="93" spans="1:18" ht="13.5" customHeight="1">
      <c r="A93" s="91" t="s">
        <v>319</v>
      </c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1"/>
      <c r="P93" s="77"/>
      <c r="Q93" s="77"/>
      <c r="R93" s="71"/>
    </row>
    <row r="94" spans="1:18" ht="13.5" customHeight="1">
      <c r="A94" s="91" t="s">
        <v>320</v>
      </c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1"/>
      <c r="P94" s="77"/>
      <c r="Q94" s="77"/>
      <c r="R94" s="71"/>
    </row>
    <row r="95" spans="1:18" ht="13.5" customHeight="1">
      <c r="A95" s="91" t="s">
        <v>321</v>
      </c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1"/>
      <c r="P95" s="77"/>
      <c r="Q95" s="77"/>
      <c r="R95" s="71"/>
    </row>
    <row r="96" spans="1:18" ht="13.5" customHeight="1">
      <c r="A96" s="91" t="s">
        <v>322</v>
      </c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1"/>
      <c r="P96" s="77"/>
      <c r="Q96" s="77"/>
      <c r="R96" s="71"/>
    </row>
    <row r="97" spans="1:18" ht="13.5" customHeight="1">
      <c r="A97" s="95" t="s">
        <v>323</v>
      </c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4"/>
      <c r="P97" s="83"/>
      <c r="Q97" s="83"/>
      <c r="R97" s="84"/>
    </row>
    <row r="98" spans="1:18" ht="13.5" customHeight="1">
      <c r="A98" s="91" t="s">
        <v>324</v>
      </c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1"/>
      <c r="P98" s="77"/>
      <c r="Q98" s="77"/>
      <c r="R98" s="71"/>
    </row>
    <row r="99" spans="1:18" ht="13.5" customHeight="1">
      <c r="A99" s="95" t="s">
        <v>325</v>
      </c>
      <c r="B99" s="78"/>
      <c r="C99" s="78">
        <v>0</v>
      </c>
      <c r="D99" s="78"/>
      <c r="E99" s="78"/>
      <c r="F99" s="78"/>
      <c r="G99" s="78">
        <v>0</v>
      </c>
      <c r="H99" s="153"/>
      <c r="I99" s="78"/>
      <c r="J99" s="78"/>
      <c r="K99" s="78"/>
      <c r="L99" s="78"/>
      <c r="M99" s="78"/>
      <c r="N99" s="78"/>
      <c r="O99" s="68"/>
      <c r="P99" s="78"/>
      <c r="Q99" s="78"/>
      <c r="R99" s="223">
        <f>SUM(C99)</f>
        <v>0</v>
      </c>
    </row>
    <row r="100" spans="1:18" ht="13.5" customHeight="1">
      <c r="A100" s="91" t="s">
        <v>36</v>
      </c>
      <c r="B100" s="62"/>
      <c r="C100" s="62">
        <f>SUM(C99)</f>
        <v>0</v>
      </c>
      <c r="D100" s="62">
        <v>0</v>
      </c>
      <c r="E100" s="62">
        <v>0</v>
      </c>
      <c r="F100" s="62">
        <v>0</v>
      </c>
      <c r="G100" s="73">
        <f>SUM(G99)</f>
        <v>0</v>
      </c>
      <c r="H100" s="62">
        <v>0</v>
      </c>
      <c r="I100" s="62">
        <v>0</v>
      </c>
      <c r="J100" s="62">
        <v>0</v>
      </c>
      <c r="K100" s="62">
        <v>0</v>
      </c>
      <c r="L100" s="62">
        <v>0</v>
      </c>
      <c r="M100" s="62">
        <v>0</v>
      </c>
      <c r="N100" s="62">
        <v>0</v>
      </c>
      <c r="O100" s="62">
        <v>0</v>
      </c>
      <c r="P100" s="62">
        <v>0</v>
      </c>
      <c r="Q100" s="62"/>
      <c r="R100" s="73">
        <f>SUM(C100)</f>
        <v>0</v>
      </c>
    </row>
    <row r="101" spans="1:18" ht="13.5" customHeight="1" thickBot="1">
      <c r="A101" s="92" t="s">
        <v>37</v>
      </c>
      <c r="B101" s="94"/>
      <c r="C101" s="94">
        <v>0</v>
      </c>
      <c r="D101" s="94">
        <v>0</v>
      </c>
      <c r="E101" s="94">
        <v>0</v>
      </c>
      <c r="F101" s="94">
        <v>0</v>
      </c>
      <c r="G101" s="94">
        <v>0</v>
      </c>
      <c r="H101" s="94">
        <v>0</v>
      </c>
      <c r="I101" s="94">
        <v>0</v>
      </c>
      <c r="J101" s="94">
        <v>0</v>
      </c>
      <c r="K101" s="94">
        <v>0</v>
      </c>
      <c r="L101" s="94">
        <v>0</v>
      </c>
      <c r="M101" s="94">
        <v>0</v>
      </c>
      <c r="N101" s="94">
        <v>0</v>
      </c>
      <c r="O101" s="94">
        <v>0</v>
      </c>
      <c r="P101" s="94">
        <v>0</v>
      </c>
      <c r="Q101" s="94"/>
      <c r="R101" s="74">
        <f>SUM(C101:Q101)</f>
        <v>0</v>
      </c>
    </row>
    <row r="102" spans="1:18" ht="13.5" customHeight="1" thickTop="1">
      <c r="A102" s="95" t="s">
        <v>326</v>
      </c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4"/>
      <c r="O102" s="84"/>
      <c r="P102" s="84"/>
      <c r="Q102" s="84"/>
      <c r="R102" s="85"/>
    </row>
    <row r="103" spans="1:18" ht="13.5" customHeight="1">
      <c r="A103" s="95" t="s">
        <v>327</v>
      </c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4"/>
      <c r="P103" s="83"/>
      <c r="Q103" s="83"/>
      <c r="R103" s="84"/>
    </row>
    <row r="104" spans="1:18" ht="13.5" customHeight="1">
      <c r="A104" s="95" t="s">
        <v>328</v>
      </c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4"/>
      <c r="P104" s="83"/>
      <c r="Q104" s="83"/>
      <c r="R104" s="84"/>
    </row>
    <row r="105" spans="1:18" ht="13.5" customHeight="1">
      <c r="A105" s="91" t="s">
        <v>329</v>
      </c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1"/>
      <c r="P105" s="77"/>
      <c r="Q105" s="77">
        <v>1060900</v>
      </c>
      <c r="R105" s="71">
        <f>SUM(Q105)</f>
        <v>1060900</v>
      </c>
    </row>
    <row r="106" spans="1:18" ht="13.5" customHeight="1">
      <c r="A106" s="91" t="s">
        <v>36</v>
      </c>
      <c r="B106" s="62"/>
      <c r="C106" s="62">
        <f>SUM(C104:C105)</f>
        <v>0</v>
      </c>
      <c r="D106" s="62">
        <v>0</v>
      </c>
      <c r="E106" s="62">
        <v>0</v>
      </c>
      <c r="F106" s="62">
        <v>0</v>
      </c>
      <c r="G106" s="62">
        <v>0</v>
      </c>
      <c r="H106" s="62">
        <v>0</v>
      </c>
      <c r="I106" s="62">
        <v>0</v>
      </c>
      <c r="J106" s="62">
        <v>0</v>
      </c>
      <c r="K106" s="62">
        <v>0</v>
      </c>
      <c r="L106" s="62">
        <v>0</v>
      </c>
      <c r="M106" s="62">
        <v>0</v>
      </c>
      <c r="N106" s="62">
        <v>0</v>
      </c>
      <c r="O106" s="62">
        <v>0</v>
      </c>
      <c r="P106" s="62">
        <v>0</v>
      </c>
      <c r="Q106" s="62">
        <f>SUM(Q105)</f>
        <v>1060900</v>
      </c>
      <c r="R106" s="62">
        <f>SUM(D106:Q106)</f>
        <v>1060900</v>
      </c>
    </row>
    <row r="107" spans="1:18" ht="13.5" customHeight="1" thickBot="1">
      <c r="A107" s="92" t="s">
        <v>37</v>
      </c>
      <c r="B107" s="94"/>
      <c r="C107" s="94">
        <v>0</v>
      </c>
      <c r="D107" s="94">
        <v>0</v>
      </c>
      <c r="E107" s="94">
        <v>0</v>
      </c>
      <c r="F107" s="94">
        <v>0</v>
      </c>
      <c r="G107" s="94">
        <v>0</v>
      </c>
      <c r="H107" s="94">
        <v>0</v>
      </c>
      <c r="I107" s="94">
        <v>0</v>
      </c>
      <c r="J107" s="94">
        <v>0</v>
      </c>
      <c r="K107" s="94">
        <v>0</v>
      </c>
      <c r="L107" s="94">
        <v>0</v>
      </c>
      <c r="M107" s="94">
        <v>0</v>
      </c>
      <c r="N107" s="94">
        <v>0</v>
      </c>
      <c r="O107" s="94">
        <v>0</v>
      </c>
      <c r="P107" s="94">
        <v>0</v>
      </c>
      <c r="Q107" s="94">
        <f>99180+2342000+369000+111600+1060900</f>
        <v>3982680</v>
      </c>
      <c r="R107" s="74">
        <f>SUM(Q107)</f>
        <v>3982680</v>
      </c>
    </row>
    <row r="108" spans="1:18" ht="13.5" customHeight="1" thickTop="1">
      <c r="A108" s="95" t="s">
        <v>330</v>
      </c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4"/>
      <c r="N108" s="83"/>
      <c r="O108" s="85"/>
      <c r="P108" s="83"/>
      <c r="Q108" s="83"/>
      <c r="R108" s="71"/>
    </row>
    <row r="109" spans="1:18" ht="13.5" customHeight="1">
      <c r="A109" s="95" t="s">
        <v>331</v>
      </c>
      <c r="B109" s="71"/>
      <c r="C109" s="77">
        <v>0</v>
      </c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1"/>
      <c r="P109" s="77"/>
      <c r="Q109" s="77"/>
      <c r="R109" s="71">
        <f>SUM(C109:Q109)</f>
        <v>0</v>
      </c>
    </row>
    <row r="110" spans="1:18" ht="13.5" customHeight="1">
      <c r="A110" s="95" t="s">
        <v>332</v>
      </c>
      <c r="B110" s="78"/>
      <c r="C110" s="77">
        <v>0</v>
      </c>
      <c r="D110" s="77"/>
      <c r="E110" s="77"/>
      <c r="F110" s="77"/>
      <c r="G110" s="77"/>
      <c r="H110" s="77">
        <v>0</v>
      </c>
      <c r="I110" s="77"/>
      <c r="J110" s="77"/>
      <c r="K110" s="77"/>
      <c r="L110" s="77"/>
      <c r="M110" s="77"/>
      <c r="N110" s="77"/>
      <c r="O110" s="77">
        <v>0</v>
      </c>
      <c r="P110" s="71"/>
      <c r="Q110" s="71"/>
      <c r="R110" s="71">
        <f>SUM(C110:P110)</f>
        <v>0</v>
      </c>
    </row>
    <row r="111" spans="1:18" ht="13.5" customHeight="1">
      <c r="A111" s="91" t="s">
        <v>333</v>
      </c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1"/>
      <c r="Q111" s="71"/>
      <c r="R111" s="71">
        <f>SUM(C111:P111)</f>
        <v>0</v>
      </c>
    </row>
    <row r="112" spans="1:18" ht="13.5" customHeight="1">
      <c r="A112" s="91" t="s">
        <v>36</v>
      </c>
      <c r="B112" s="62"/>
      <c r="C112" s="62">
        <f>SUM(C109:C111)</f>
        <v>0</v>
      </c>
      <c r="D112" s="62">
        <v>0</v>
      </c>
      <c r="E112" s="62">
        <v>0</v>
      </c>
      <c r="F112" s="62">
        <v>0</v>
      </c>
      <c r="G112" s="62">
        <v>0</v>
      </c>
      <c r="H112" s="62">
        <v>0</v>
      </c>
      <c r="I112" s="62">
        <v>0</v>
      </c>
      <c r="J112" s="62">
        <v>0</v>
      </c>
      <c r="K112" s="62">
        <v>0</v>
      </c>
      <c r="L112" s="62">
        <v>0</v>
      </c>
      <c r="M112" s="62">
        <f>SUM(M108:M111)</f>
        <v>0</v>
      </c>
      <c r="N112" s="62">
        <f>SUM(N110:N111)</f>
        <v>0</v>
      </c>
      <c r="O112" s="62">
        <f>SUM(O110:O111)</f>
        <v>0</v>
      </c>
      <c r="P112" s="62">
        <f>SUM(P108:P111)</f>
        <v>0</v>
      </c>
      <c r="Q112" s="62"/>
      <c r="R112" s="62">
        <f>SUM(C112:P112)</f>
        <v>0</v>
      </c>
    </row>
    <row r="113" spans="1:18" ht="13.5" customHeight="1" thickBot="1">
      <c r="A113" s="92" t="s">
        <v>37</v>
      </c>
      <c r="B113" s="94"/>
      <c r="C113" s="94">
        <v>0</v>
      </c>
      <c r="D113" s="94">
        <v>0</v>
      </c>
      <c r="E113" s="94">
        <v>0</v>
      </c>
      <c r="F113" s="94">
        <v>0</v>
      </c>
      <c r="G113" s="94">
        <v>0</v>
      </c>
      <c r="H113" s="94">
        <v>0</v>
      </c>
      <c r="I113" s="94">
        <v>0</v>
      </c>
      <c r="J113" s="94">
        <v>0</v>
      </c>
      <c r="K113" s="94">
        <v>0</v>
      </c>
      <c r="L113" s="94">
        <v>0</v>
      </c>
      <c r="M113" s="94">
        <v>0</v>
      </c>
      <c r="N113" s="94">
        <f>SUM(N111:N112)</f>
        <v>0</v>
      </c>
      <c r="O113" s="94">
        <v>0</v>
      </c>
      <c r="P113" s="94">
        <v>0</v>
      </c>
      <c r="Q113" s="94"/>
      <c r="R113" s="94">
        <f>SUM(C113:P113)</f>
        <v>0</v>
      </c>
    </row>
    <row r="114" spans="1:18" ht="13.5" customHeight="1" thickTop="1">
      <c r="A114" s="95" t="s">
        <v>334</v>
      </c>
      <c r="B114" s="78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4"/>
      <c r="P114" s="83"/>
      <c r="Q114" s="83"/>
      <c r="R114" s="84"/>
    </row>
    <row r="115" spans="1:18" ht="13.5" customHeight="1">
      <c r="A115" s="95" t="s">
        <v>335</v>
      </c>
      <c r="B115" s="79"/>
      <c r="C115" s="78"/>
      <c r="D115" s="78">
        <v>0</v>
      </c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68"/>
      <c r="P115" s="78"/>
      <c r="Q115" s="78"/>
      <c r="R115" s="68">
        <f>SUM(B115:P115)</f>
        <v>0</v>
      </c>
    </row>
    <row r="116" spans="1:18" ht="13.5" customHeight="1">
      <c r="A116" s="91" t="s">
        <v>36</v>
      </c>
      <c r="B116" s="62">
        <v>0</v>
      </c>
      <c r="C116" s="62">
        <v>0</v>
      </c>
      <c r="D116" s="62">
        <f>SUM(D115)</f>
        <v>0</v>
      </c>
      <c r="E116" s="62">
        <v>0</v>
      </c>
      <c r="F116" s="62">
        <v>0</v>
      </c>
      <c r="G116" s="62">
        <v>0</v>
      </c>
      <c r="H116" s="62">
        <v>0</v>
      </c>
      <c r="I116" s="62">
        <v>0</v>
      </c>
      <c r="J116" s="62">
        <v>0</v>
      </c>
      <c r="K116" s="62">
        <v>0</v>
      </c>
      <c r="L116" s="62">
        <v>0</v>
      </c>
      <c r="M116" s="62">
        <v>0</v>
      </c>
      <c r="N116" s="62">
        <v>0</v>
      </c>
      <c r="O116" s="62">
        <v>0</v>
      </c>
      <c r="P116" s="62">
        <v>0</v>
      </c>
      <c r="Q116" s="62"/>
      <c r="R116" s="62">
        <f>SUM(B116:P116)</f>
        <v>0</v>
      </c>
    </row>
    <row r="117" spans="1:18" ht="13.5" customHeight="1" thickBot="1">
      <c r="A117" s="92" t="s">
        <v>37</v>
      </c>
      <c r="B117" s="94">
        <v>0</v>
      </c>
      <c r="C117" s="94">
        <v>0</v>
      </c>
      <c r="D117" s="94">
        <v>0</v>
      </c>
      <c r="E117" s="94">
        <v>0</v>
      </c>
      <c r="F117" s="94">
        <v>0</v>
      </c>
      <c r="G117" s="94">
        <v>0</v>
      </c>
      <c r="H117" s="94">
        <v>0</v>
      </c>
      <c r="I117" s="94">
        <v>0</v>
      </c>
      <c r="J117" s="94">
        <v>0</v>
      </c>
      <c r="K117" s="94">
        <v>0</v>
      </c>
      <c r="L117" s="94">
        <v>0</v>
      </c>
      <c r="M117" s="94">
        <v>0</v>
      </c>
      <c r="N117" s="94">
        <v>0</v>
      </c>
      <c r="O117" s="94">
        <v>0</v>
      </c>
      <c r="P117" s="94">
        <v>0</v>
      </c>
      <c r="Q117" s="94"/>
      <c r="R117" s="94">
        <f>SUM(B117:P117)</f>
        <v>0</v>
      </c>
    </row>
    <row r="118" spans="1:18" ht="13.5" customHeight="1" thickTop="1">
      <c r="A118" s="91" t="s">
        <v>36</v>
      </c>
      <c r="B118" s="73">
        <f>SUM(B13)</f>
        <v>0</v>
      </c>
      <c r="C118" s="62">
        <f>SUM(C22+C28+C33+C46+C54+C61+C76+C89+C100+C106++C112)</f>
        <v>0</v>
      </c>
      <c r="D118" s="152">
        <v>0</v>
      </c>
      <c r="E118" s="152">
        <f>SUM(E22+E28+E33+E46+E54+E61+E76+E89+E100+E106+E112)</f>
        <v>0</v>
      </c>
      <c r="F118" s="152">
        <f>SUM(F61)</f>
        <v>0</v>
      </c>
      <c r="G118" s="152">
        <f>SUM(G28+G46+G54+G61+G76+G89+G100+G106+G112)</f>
        <v>0</v>
      </c>
      <c r="H118" s="152">
        <f>SUM(H46+H61+H112)</f>
        <v>0</v>
      </c>
      <c r="I118" s="152">
        <f>SUM(I46+I54+I61+I76+I89+I100+I106+I112)</f>
        <v>0</v>
      </c>
      <c r="J118" s="152">
        <f>SUM(J46+J54+J61+J76+J89+J100+J106+J112)</f>
        <v>0</v>
      </c>
      <c r="K118" s="152">
        <v>0</v>
      </c>
      <c r="L118" s="152">
        <f>SUM(L28+L33+L46+L54+L61+L76+L89+L100+L106+L112)</f>
        <v>0</v>
      </c>
      <c r="M118" s="152">
        <v>0</v>
      </c>
      <c r="N118" s="152">
        <f>SUM(N61)</f>
        <v>0</v>
      </c>
      <c r="O118" s="152">
        <f>SUM(O13+O22+O28+O33+O46+O54+O61+O76+O89+O100+O106+O112)</f>
        <v>0</v>
      </c>
      <c r="P118" s="152">
        <v>0</v>
      </c>
      <c r="Q118" s="152">
        <f>SUM(Q106)</f>
        <v>1060900</v>
      </c>
      <c r="R118" s="73">
        <f>SUM(B118:Q118)</f>
        <v>1060900</v>
      </c>
    </row>
    <row r="119" spans="1:18" ht="13.5" customHeight="1" thickBot="1">
      <c r="A119" s="92" t="s">
        <v>37</v>
      </c>
      <c r="B119" s="74">
        <v>0</v>
      </c>
      <c r="C119" s="94">
        <v>0</v>
      </c>
      <c r="D119" s="94">
        <v>0</v>
      </c>
      <c r="E119" s="94">
        <v>0</v>
      </c>
      <c r="F119" s="94">
        <v>0</v>
      </c>
      <c r="G119" s="94">
        <v>0</v>
      </c>
      <c r="H119" s="94">
        <v>0</v>
      </c>
      <c r="I119" s="94">
        <v>0</v>
      </c>
      <c r="J119" s="94">
        <v>0</v>
      </c>
      <c r="K119" s="94">
        <v>0</v>
      </c>
      <c r="L119" s="94">
        <v>0</v>
      </c>
      <c r="M119" s="94">
        <v>0</v>
      </c>
      <c r="N119" s="94">
        <v>0</v>
      </c>
      <c r="O119" s="94">
        <v>0</v>
      </c>
      <c r="P119" s="94">
        <v>0</v>
      </c>
      <c r="Q119" s="94">
        <f>99180+2342000+369000+111600+1060900</f>
        <v>3982680</v>
      </c>
      <c r="R119" s="74">
        <f>SUM(B119:Q119)</f>
        <v>3982680</v>
      </c>
    </row>
    <row r="120" ht="15" thickTop="1"/>
  </sheetData>
  <sheetProtection/>
  <mergeCells count="27">
    <mergeCell ref="P81:Q81"/>
    <mergeCell ref="R81:R82"/>
    <mergeCell ref="B81:B82"/>
    <mergeCell ref="C81:E81"/>
    <mergeCell ref="G81:H81"/>
    <mergeCell ref="I81:J81"/>
    <mergeCell ref="L81:M81"/>
    <mergeCell ref="N81:O81"/>
    <mergeCell ref="R5:R6"/>
    <mergeCell ref="B41:B42"/>
    <mergeCell ref="C41:E41"/>
    <mergeCell ref="G41:H41"/>
    <mergeCell ref="I41:J41"/>
    <mergeCell ref="L41:M41"/>
    <mergeCell ref="N41:O41"/>
    <mergeCell ref="P41:Q41"/>
    <mergeCell ref="R41:R42"/>
    <mergeCell ref="A1:R1"/>
    <mergeCell ref="A2:R2"/>
    <mergeCell ref="A3:R3"/>
    <mergeCell ref="B5:B6"/>
    <mergeCell ref="C5:E5"/>
    <mergeCell ref="G5:H5"/>
    <mergeCell ref="I5:J5"/>
    <mergeCell ref="L5:M5"/>
    <mergeCell ref="N5:O5"/>
    <mergeCell ref="P5:Q5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20"/>
  <sheetViews>
    <sheetView view="pageBreakPreview" zoomScaleSheetLayoutView="100" zoomScalePageLayoutView="0" workbookViewId="0" topLeftCell="A103">
      <selection activeCell="E110" sqref="E110"/>
    </sheetView>
  </sheetViews>
  <sheetFormatPr defaultColWidth="9.140625" defaultRowHeight="12.75"/>
  <cols>
    <col min="1" max="1" width="12.421875" style="69" customWidth="1"/>
    <col min="2" max="2" width="7.7109375" style="82" customWidth="1"/>
    <col min="3" max="3" width="7.57421875" style="82" customWidth="1"/>
    <col min="4" max="4" width="7.7109375" style="82" customWidth="1"/>
    <col min="5" max="6" width="7.421875" style="82" customWidth="1"/>
    <col min="7" max="7" width="7.57421875" style="82" customWidth="1"/>
    <col min="8" max="9" width="7.421875" style="82" customWidth="1"/>
    <col min="10" max="10" width="7.28125" style="82" customWidth="1"/>
    <col min="11" max="11" width="7.140625" style="82" customWidth="1"/>
    <col min="12" max="12" width="7.421875" style="82" customWidth="1"/>
    <col min="13" max="13" width="7.140625" style="82" customWidth="1"/>
    <col min="14" max="14" width="7.421875" style="82" customWidth="1"/>
    <col min="15" max="15" width="7.57421875" style="82" customWidth="1"/>
    <col min="16" max="16" width="7.421875" style="63" customWidth="1"/>
    <col min="17" max="17" width="7.57421875" style="63" customWidth="1"/>
    <col min="18" max="18" width="9.7109375" style="63" customWidth="1"/>
    <col min="19" max="16384" width="9.140625" style="64" customWidth="1"/>
  </cols>
  <sheetData>
    <row r="1" spans="1:18" ht="16.5">
      <c r="A1" s="361" t="s">
        <v>94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</row>
    <row r="2" spans="1:18" ht="16.5">
      <c r="A2" s="361" t="s">
        <v>482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</row>
    <row r="3" spans="1:18" ht="16.5">
      <c r="A3" s="362" t="s">
        <v>586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</row>
    <row r="4" s="125" customFormat="1" ht="14.25">
      <c r="Q4" s="200"/>
    </row>
    <row r="5" spans="1:18" s="65" customFormat="1" ht="14.25">
      <c r="A5" s="66" t="s">
        <v>118</v>
      </c>
      <c r="B5" s="357" t="s">
        <v>95</v>
      </c>
      <c r="C5" s="358" t="s">
        <v>96</v>
      </c>
      <c r="D5" s="358"/>
      <c r="E5" s="358"/>
      <c r="F5" s="88" t="s">
        <v>97</v>
      </c>
      <c r="G5" s="358" t="s">
        <v>98</v>
      </c>
      <c r="H5" s="358"/>
      <c r="I5" s="358" t="s">
        <v>99</v>
      </c>
      <c r="J5" s="358"/>
      <c r="K5" s="88" t="s">
        <v>100</v>
      </c>
      <c r="L5" s="358" t="s">
        <v>101</v>
      </c>
      <c r="M5" s="358"/>
      <c r="N5" s="358" t="s">
        <v>102</v>
      </c>
      <c r="O5" s="358"/>
      <c r="P5" s="359" t="s">
        <v>116</v>
      </c>
      <c r="Q5" s="360"/>
      <c r="R5" s="355" t="s">
        <v>19</v>
      </c>
    </row>
    <row r="6" spans="1:18" s="65" customFormat="1" ht="14.25">
      <c r="A6" s="67" t="s">
        <v>119</v>
      </c>
      <c r="B6" s="357"/>
      <c r="C6" s="88" t="s">
        <v>103</v>
      </c>
      <c r="D6" s="88" t="s">
        <v>114</v>
      </c>
      <c r="E6" s="88" t="s">
        <v>104</v>
      </c>
      <c r="F6" s="88" t="s">
        <v>105</v>
      </c>
      <c r="G6" s="88" t="s">
        <v>106</v>
      </c>
      <c r="H6" s="88" t="s">
        <v>107</v>
      </c>
      <c r="I6" s="88" t="s">
        <v>108</v>
      </c>
      <c r="J6" s="88" t="s">
        <v>109</v>
      </c>
      <c r="K6" s="88" t="s">
        <v>115</v>
      </c>
      <c r="L6" s="88" t="s">
        <v>110</v>
      </c>
      <c r="M6" s="88" t="s">
        <v>111</v>
      </c>
      <c r="N6" s="88" t="s">
        <v>112</v>
      </c>
      <c r="O6" s="88" t="s">
        <v>113</v>
      </c>
      <c r="P6" s="88" t="s">
        <v>336</v>
      </c>
      <c r="Q6" s="201" t="s">
        <v>117</v>
      </c>
      <c r="R6" s="356"/>
    </row>
    <row r="7" spans="1:18" ht="14.25">
      <c r="A7" s="89" t="s">
        <v>266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</row>
    <row r="8" spans="1:18" ht="14.25">
      <c r="A8" s="90" t="s">
        <v>267</v>
      </c>
      <c r="B8" s="68">
        <v>5304</v>
      </c>
      <c r="C8" s="68"/>
      <c r="D8" s="68"/>
      <c r="E8" s="68" t="s">
        <v>264</v>
      </c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>
        <f>SUM(B8:P8)</f>
        <v>5304</v>
      </c>
    </row>
    <row r="9" spans="1:18" ht="14.25">
      <c r="A9" s="91" t="s">
        <v>268</v>
      </c>
      <c r="B9" s="71">
        <f>1000+1500</f>
        <v>2500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>
        <f>SUM(B9:Q9)</f>
        <v>2500</v>
      </c>
    </row>
    <row r="10" spans="1:18" ht="14.25">
      <c r="A10" s="91" t="s">
        <v>269</v>
      </c>
      <c r="B10" s="71">
        <v>26000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>
        <f>SUM(B10:P10)</f>
        <v>26000</v>
      </c>
    </row>
    <row r="11" spans="1:18" ht="14.25">
      <c r="A11" s="91" t="s">
        <v>270</v>
      </c>
      <c r="B11" s="71">
        <v>0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>
        <f>SUM(B11:P11)</f>
        <v>0</v>
      </c>
    </row>
    <row r="12" spans="1:18" ht="14.25">
      <c r="A12" s="91" t="s">
        <v>271</v>
      </c>
      <c r="B12" s="87">
        <v>0</v>
      </c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>
        <f>SUM(B12:Q12)</f>
        <v>0</v>
      </c>
    </row>
    <row r="13" spans="1:18" ht="14.25">
      <c r="A13" s="91" t="s">
        <v>36</v>
      </c>
      <c r="B13" s="73">
        <f>SUM(B8:B12)</f>
        <v>33804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/>
      <c r="R13" s="73">
        <f>SUM(B13:Q13)</f>
        <v>33804</v>
      </c>
    </row>
    <row r="14" spans="1:18" ht="15" thickBot="1">
      <c r="A14" s="92" t="s">
        <v>37</v>
      </c>
      <c r="B14" s="74">
        <f>472680+33804</f>
        <v>506484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199"/>
      <c r="R14" s="74">
        <f>SUM(B14:P14)</f>
        <v>506484</v>
      </c>
    </row>
    <row r="15" spans="1:18" ht="15" thickTop="1">
      <c r="A15" s="93" t="s">
        <v>272</v>
      </c>
      <c r="B15" s="75"/>
      <c r="C15" s="8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6"/>
      <c r="P15" s="75"/>
      <c r="Q15" s="75"/>
      <c r="R15" s="76"/>
    </row>
    <row r="16" spans="1:18" ht="14.25">
      <c r="A16" s="91" t="s">
        <v>273</v>
      </c>
      <c r="B16" s="77"/>
      <c r="C16" s="71">
        <v>42840</v>
      </c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1"/>
      <c r="P16" s="77"/>
      <c r="Q16" s="77"/>
      <c r="R16" s="71">
        <f aca="true" t="shared" si="0" ref="R16:R23">SUM(C16:P16)</f>
        <v>42840</v>
      </c>
    </row>
    <row r="17" spans="1:18" ht="14.25">
      <c r="A17" s="90" t="s">
        <v>274</v>
      </c>
      <c r="B17" s="78"/>
      <c r="C17" s="78">
        <v>3510</v>
      </c>
      <c r="D17" s="78"/>
      <c r="E17" s="78">
        <v>0</v>
      </c>
      <c r="F17" s="78"/>
      <c r="G17" s="78">
        <v>0</v>
      </c>
      <c r="H17" s="78"/>
      <c r="I17" s="78"/>
      <c r="J17" s="78"/>
      <c r="K17" s="78"/>
      <c r="L17" s="78">
        <v>0</v>
      </c>
      <c r="M17" s="78"/>
      <c r="N17" s="78"/>
      <c r="O17" s="68"/>
      <c r="P17" s="78"/>
      <c r="Q17" s="78"/>
      <c r="R17" s="68">
        <f t="shared" si="0"/>
        <v>3510</v>
      </c>
    </row>
    <row r="18" spans="1:18" ht="14.25">
      <c r="A18" s="91" t="s">
        <v>275</v>
      </c>
      <c r="B18" s="77"/>
      <c r="C18" s="77">
        <v>3510</v>
      </c>
      <c r="D18" s="77"/>
      <c r="E18" s="77">
        <v>0</v>
      </c>
      <c r="F18" s="77"/>
      <c r="G18" s="77">
        <v>0</v>
      </c>
      <c r="H18" s="77"/>
      <c r="I18" s="77"/>
      <c r="J18" s="77"/>
      <c r="K18" s="77"/>
      <c r="L18" s="77">
        <v>0</v>
      </c>
      <c r="M18" s="77"/>
      <c r="N18" s="77"/>
      <c r="O18" s="71"/>
      <c r="P18" s="77"/>
      <c r="Q18" s="77"/>
      <c r="R18" s="71">
        <f t="shared" si="0"/>
        <v>3510</v>
      </c>
    </row>
    <row r="19" spans="1:18" ht="14.25">
      <c r="A19" s="91" t="s">
        <v>276</v>
      </c>
      <c r="B19" s="77"/>
      <c r="C19" s="71">
        <v>7200</v>
      </c>
      <c r="D19" s="77"/>
      <c r="E19" s="77">
        <v>0</v>
      </c>
      <c r="F19" s="77"/>
      <c r="G19" s="77"/>
      <c r="H19" s="77"/>
      <c r="I19" s="77"/>
      <c r="J19" s="77"/>
      <c r="K19" s="77"/>
      <c r="L19" s="77">
        <v>0</v>
      </c>
      <c r="M19" s="77"/>
      <c r="N19" s="77"/>
      <c r="O19" s="71"/>
      <c r="P19" s="77"/>
      <c r="Q19" s="77"/>
      <c r="R19" s="71">
        <f t="shared" si="0"/>
        <v>7200</v>
      </c>
    </row>
    <row r="20" spans="1:18" ht="14.25">
      <c r="A20" s="90" t="s">
        <v>277</v>
      </c>
      <c r="B20" s="78"/>
      <c r="C20" s="78">
        <v>171600</v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68"/>
      <c r="P20" s="78"/>
      <c r="Q20" s="78"/>
      <c r="R20" s="68">
        <f t="shared" si="0"/>
        <v>171600</v>
      </c>
    </row>
    <row r="21" spans="1:18" ht="14.25">
      <c r="A21" s="91" t="s">
        <v>278</v>
      </c>
      <c r="B21" s="77"/>
      <c r="C21" s="71">
        <v>7200</v>
      </c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1"/>
      <c r="P21" s="77"/>
      <c r="Q21" s="77"/>
      <c r="R21" s="71">
        <f t="shared" si="0"/>
        <v>7200</v>
      </c>
    </row>
    <row r="22" spans="1:18" ht="14.25">
      <c r="A22" s="91" t="s">
        <v>36</v>
      </c>
      <c r="B22" s="62"/>
      <c r="C22" s="80">
        <f>SUM(C16:C21)</f>
        <v>235860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/>
      <c r="R22" s="73">
        <f t="shared" si="0"/>
        <v>235860</v>
      </c>
    </row>
    <row r="23" spans="1:18" ht="15" thickBot="1">
      <c r="A23" s="92" t="s">
        <v>37</v>
      </c>
      <c r="B23" s="94"/>
      <c r="C23" s="81">
        <f>972240+243060+243060+239700+235860+235860+235860</f>
        <v>2405640</v>
      </c>
      <c r="D23" s="94">
        <v>0</v>
      </c>
      <c r="E23" s="94">
        <v>0</v>
      </c>
      <c r="F23" s="94">
        <v>0</v>
      </c>
      <c r="G23" s="94">
        <v>0</v>
      </c>
      <c r="H23" s="94">
        <v>0</v>
      </c>
      <c r="I23" s="94">
        <v>0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  <c r="Q23" s="94"/>
      <c r="R23" s="74">
        <f t="shared" si="0"/>
        <v>2405640</v>
      </c>
    </row>
    <row r="24" spans="1:18" ht="15" thickTop="1">
      <c r="A24" s="90" t="s">
        <v>279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84"/>
      <c r="P24" s="78"/>
      <c r="Q24" s="78"/>
      <c r="R24" s="68"/>
    </row>
    <row r="25" spans="1:18" ht="14.25">
      <c r="A25" s="91" t="s">
        <v>280</v>
      </c>
      <c r="B25" s="77"/>
      <c r="C25" s="77">
        <v>161330</v>
      </c>
      <c r="D25" s="77"/>
      <c r="E25" s="77">
        <v>83800</v>
      </c>
      <c r="F25" s="77"/>
      <c r="G25" s="77">
        <v>20780</v>
      </c>
      <c r="H25" s="77"/>
      <c r="I25" s="77"/>
      <c r="J25" s="77"/>
      <c r="K25" s="77"/>
      <c r="L25" s="77">
        <v>27300</v>
      </c>
      <c r="M25" s="77"/>
      <c r="N25" s="77"/>
      <c r="O25" s="71"/>
      <c r="P25" s="77"/>
      <c r="Q25" s="77"/>
      <c r="R25" s="71">
        <f>SUM(C25:Q25)</f>
        <v>293210</v>
      </c>
    </row>
    <row r="26" spans="1:18" ht="14.25">
      <c r="A26" s="91" t="s">
        <v>281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>
        <v>1500</v>
      </c>
      <c r="M26" s="77"/>
      <c r="N26" s="77"/>
      <c r="O26" s="71"/>
      <c r="P26" s="77"/>
      <c r="Q26" s="77"/>
      <c r="R26" s="71">
        <f>SUM(C26:P26)</f>
        <v>1500</v>
      </c>
    </row>
    <row r="27" spans="1:18" ht="14.25">
      <c r="A27" s="90" t="s">
        <v>282</v>
      </c>
      <c r="B27" s="78"/>
      <c r="C27" s="78">
        <v>14700</v>
      </c>
      <c r="D27" s="78"/>
      <c r="E27" s="78">
        <v>3500</v>
      </c>
      <c r="F27" s="78"/>
      <c r="G27" s="78">
        <v>3500</v>
      </c>
      <c r="H27" s="78"/>
      <c r="I27" s="78"/>
      <c r="J27" s="78"/>
      <c r="K27" s="78"/>
      <c r="L27" s="78">
        <v>0</v>
      </c>
      <c r="M27" s="78"/>
      <c r="N27" s="78"/>
      <c r="O27" s="68"/>
      <c r="P27" s="78"/>
      <c r="Q27" s="78"/>
      <c r="R27" s="68">
        <f>SUM(C27:Q27)</f>
        <v>21700</v>
      </c>
    </row>
    <row r="28" spans="1:18" ht="14.25">
      <c r="A28" s="91" t="s">
        <v>36</v>
      </c>
      <c r="B28" s="62"/>
      <c r="C28" s="80">
        <f>SUM(C25:C27)</f>
        <v>176030</v>
      </c>
      <c r="D28" s="62">
        <v>0</v>
      </c>
      <c r="E28" s="62">
        <f>SUM(E25:E27)</f>
        <v>87300</v>
      </c>
      <c r="F28" s="62">
        <v>0</v>
      </c>
      <c r="G28" s="62">
        <f>SUM(G25:G27)</f>
        <v>24280</v>
      </c>
      <c r="H28" s="62">
        <v>0</v>
      </c>
      <c r="I28" s="62">
        <v>0</v>
      </c>
      <c r="J28" s="62">
        <v>0</v>
      </c>
      <c r="K28" s="62">
        <v>0</v>
      </c>
      <c r="L28" s="62">
        <f>SUM(L25:L27)</f>
        <v>28800</v>
      </c>
      <c r="M28" s="62">
        <v>0</v>
      </c>
      <c r="N28" s="62">
        <v>0</v>
      </c>
      <c r="O28" s="62">
        <v>0</v>
      </c>
      <c r="P28" s="62">
        <v>0</v>
      </c>
      <c r="Q28" s="62"/>
      <c r="R28" s="62">
        <f>SUM(C28:P28)</f>
        <v>316410</v>
      </c>
    </row>
    <row r="29" spans="1:18" ht="15" thickBot="1">
      <c r="A29" s="92" t="s">
        <v>37</v>
      </c>
      <c r="B29" s="94"/>
      <c r="C29" s="81">
        <f>685920+174314+172540+176030+176030+176030+176030</f>
        <v>1736894</v>
      </c>
      <c r="D29" s="94">
        <v>0</v>
      </c>
      <c r="E29" s="94">
        <f>415080+103770+103770+106110+106110+91689+87300</f>
        <v>1013829</v>
      </c>
      <c r="F29" s="94">
        <v>0</v>
      </c>
      <c r="G29" s="94">
        <f>81440+20360+20360+20780+20780+25070+24280</f>
        <v>213070</v>
      </c>
      <c r="H29" s="94">
        <v>0</v>
      </c>
      <c r="I29" s="94">
        <v>0</v>
      </c>
      <c r="J29" s="94">
        <v>0</v>
      </c>
      <c r="K29" s="94">
        <v>0</v>
      </c>
      <c r="L29" s="94">
        <f>175880+43970+43970+44820+43885+28800+28800</f>
        <v>410125</v>
      </c>
      <c r="M29" s="94">
        <v>0</v>
      </c>
      <c r="N29" s="94">
        <v>0</v>
      </c>
      <c r="O29" s="94">
        <v>0</v>
      </c>
      <c r="P29" s="94">
        <v>0</v>
      </c>
      <c r="Q29" s="94"/>
      <c r="R29" s="94">
        <f>SUM(C29:P29)</f>
        <v>3373918</v>
      </c>
    </row>
    <row r="30" spans="1:18" ht="15" thickTop="1">
      <c r="A30" s="90" t="s">
        <v>279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68"/>
      <c r="P30" s="78"/>
      <c r="Q30" s="78"/>
      <c r="R30" s="85"/>
    </row>
    <row r="31" spans="1:18" ht="14.25">
      <c r="A31" s="91" t="s">
        <v>283</v>
      </c>
      <c r="B31" s="77"/>
      <c r="C31" s="77">
        <v>12330</v>
      </c>
      <c r="D31" s="77"/>
      <c r="E31" s="77">
        <v>0</v>
      </c>
      <c r="F31" s="77"/>
      <c r="G31" s="77">
        <v>0</v>
      </c>
      <c r="H31" s="77"/>
      <c r="I31" s="77">
        <v>0</v>
      </c>
      <c r="J31" s="77"/>
      <c r="K31" s="77"/>
      <c r="L31" s="77">
        <v>0</v>
      </c>
      <c r="M31" s="77"/>
      <c r="N31" s="77"/>
      <c r="O31" s="71"/>
      <c r="P31" s="77"/>
      <c r="Q31" s="77"/>
      <c r="R31" s="71">
        <f>SUM(C31:P31)</f>
        <v>12330</v>
      </c>
    </row>
    <row r="32" spans="1:18" ht="14.25">
      <c r="A32" s="90" t="s">
        <v>284</v>
      </c>
      <c r="B32" s="79"/>
      <c r="C32" s="78">
        <f>195-195</f>
        <v>0</v>
      </c>
      <c r="D32" s="78"/>
      <c r="E32" s="78">
        <v>0</v>
      </c>
      <c r="F32" s="78"/>
      <c r="G32" s="78">
        <v>0</v>
      </c>
      <c r="H32" s="78"/>
      <c r="I32" s="78">
        <v>0</v>
      </c>
      <c r="J32" s="78"/>
      <c r="K32" s="78"/>
      <c r="L32" s="78">
        <v>0</v>
      </c>
      <c r="M32" s="78"/>
      <c r="N32" s="78"/>
      <c r="O32" s="68"/>
      <c r="P32" s="78"/>
      <c r="Q32" s="78"/>
      <c r="R32" s="68">
        <f>SUM(C32:P32)</f>
        <v>0</v>
      </c>
    </row>
    <row r="33" spans="1:18" ht="14.25">
      <c r="A33" s="91" t="s">
        <v>36</v>
      </c>
      <c r="B33" s="62"/>
      <c r="C33" s="80">
        <f>SUM(C31:C32)</f>
        <v>12330</v>
      </c>
      <c r="D33" s="62">
        <v>0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2">
        <v>0</v>
      </c>
      <c r="N33" s="62">
        <v>0</v>
      </c>
      <c r="O33" s="62">
        <v>0</v>
      </c>
      <c r="P33" s="62">
        <v>0</v>
      </c>
      <c r="Q33" s="62"/>
      <c r="R33" s="73">
        <f>SUM(C33:P33)</f>
        <v>12330</v>
      </c>
    </row>
    <row r="34" spans="1:18" ht="15" thickBot="1">
      <c r="A34" s="92" t="s">
        <v>37</v>
      </c>
      <c r="B34" s="94"/>
      <c r="C34" s="74">
        <f>53565+12285+12285+12330+12330+12330+12330</f>
        <v>127455</v>
      </c>
      <c r="D34" s="94">
        <v>0</v>
      </c>
      <c r="E34" s="94">
        <v>0</v>
      </c>
      <c r="F34" s="94">
        <v>0</v>
      </c>
      <c r="G34" s="94">
        <v>0</v>
      </c>
      <c r="H34" s="94">
        <v>0</v>
      </c>
      <c r="I34" s="94">
        <v>0</v>
      </c>
      <c r="J34" s="94">
        <v>0</v>
      </c>
      <c r="K34" s="94">
        <v>0</v>
      </c>
      <c r="L34" s="94">
        <v>0</v>
      </c>
      <c r="M34" s="94">
        <v>0</v>
      </c>
      <c r="N34" s="94">
        <v>0</v>
      </c>
      <c r="O34" s="94">
        <v>0</v>
      </c>
      <c r="P34" s="94">
        <v>0</v>
      </c>
      <c r="Q34" s="94"/>
      <c r="R34" s="74">
        <f>SUM(C34:P34)</f>
        <v>127455</v>
      </c>
    </row>
    <row r="35" ht="15" thickTop="1">
      <c r="C35" s="189"/>
    </row>
    <row r="41" spans="1:18" s="65" customFormat="1" ht="14.25">
      <c r="A41" s="66" t="s">
        <v>118</v>
      </c>
      <c r="B41" s="357" t="s">
        <v>95</v>
      </c>
      <c r="C41" s="358" t="s">
        <v>96</v>
      </c>
      <c r="D41" s="358"/>
      <c r="E41" s="358"/>
      <c r="F41" s="88" t="s">
        <v>97</v>
      </c>
      <c r="G41" s="358" t="s">
        <v>98</v>
      </c>
      <c r="H41" s="358"/>
      <c r="I41" s="358" t="s">
        <v>99</v>
      </c>
      <c r="J41" s="358"/>
      <c r="K41" s="88" t="s">
        <v>100</v>
      </c>
      <c r="L41" s="358" t="s">
        <v>101</v>
      </c>
      <c r="M41" s="358"/>
      <c r="N41" s="358" t="s">
        <v>102</v>
      </c>
      <c r="O41" s="358"/>
      <c r="P41" s="359" t="s">
        <v>116</v>
      </c>
      <c r="Q41" s="360"/>
      <c r="R41" s="355" t="s">
        <v>19</v>
      </c>
    </row>
    <row r="42" spans="1:18" s="65" customFormat="1" ht="14.25">
      <c r="A42" s="67" t="s">
        <v>119</v>
      </c>
      <c r="B42" s="357"/>
      <c r="C42" s="88" t="s">
        <v>103</v>
      </c>
      <c r="D42" s="88" t="s">
        <v>114</v>
      </c>
      <c r="E42" s="88" t="s">
        <v>104</v>
      </c>
      <c r="F42" s="88" t="s">
        <v>105</v>
      </c>
      <c r="G42" s="88" t="s">
        <v>106</v>
      </c>
      <c r="H42" s="88" t="s">
        <v>107</v>
      </c>
      <c r="I42" s="88" t="s">
        <v>108</v>
      </c>
      <c r="J42" s="88" t="s">
        <v>109</v>
      </c>
      <c r="K42" s="88" t="s">
        <v>115</v>
      </c>
      <c r="L42" s="88" t="s">
        <v>110</v>
      </c>
      <c r="M42" s="88" t="s">
        <v>111</v>
      </c>
      <c r="N42" s="88" t="s">
        <v>112</v>
      </c>
      <c r="O42" s="88" t="s">
        <v>113</v>
      </c>
      <c r="P42" s="88" t="s">
        <v>336</v>
      </c>
      <c r="Q42" s="201" t="s">
        <v>117</v>
      </c>
      <c r="R42" s="356"/>
    </row>
    <row r="43" spans="1:18" ht="14.25">
      <c r="A43" s="93" t="s">
        <v>279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</row>
    <row r="44" spans="1:18" ht="14.25">
      <c r="A44" s="91" t="s">
        <v>285</v>
      </c>
      <c r="B44" s="71"/>
      <c r="C44" s="71">
        <v>28900</v>
      </c>
      <c r="D44" s="71"/>
      <c r="E44" s="71">
        <v>20330</v>
      </c>
      <c r="F44" s="71"/>
      <c r="G44" s="71">
        <v>25600</v>
      </c>
      <c r="H44" s="71">
        <v>0</v>
      </c>
      <c r="I44" s="71">
        <v>9000</v>
      </c>
      <c r="J44" s="71"/>
      <c r="K44" s="71"/>
      <c r="L44" s="71">
        <v>18400</v>
      </c>
      <c r="M44" s="71"/>
      <c r="N44" s="71"/>
      <c r="O44" s="71"/>
      <c r="P44" s="71"/>
      <c r="Q44" s="71"/>
      <c r="R44" s="71">
        <f>SUM(C44:P44)</f>
        <v>102230</v>
      </c>
    </row>
    <row r="45" spans="1:18" ht="14.25">
      <c r="A45" s="95" t="s">
        <v>286</v>
      </c>
      <c r="B45" s="68"/>
      <c r="C45" s="68">
        <v>3000</v>
      </c>
      <c r="D45" s="68"/>
      <c r="E45" s="68">
        <v>955</v>
      </c>
      <c r="F45" s="68"/>
      <c r="G45" s="68"/>
      <c r="H45" s="68"/>
      <c r="I45" s="68"/>
      <c r="J45" s="68"/>
      <c r="K45" s="68"/>
      <c r="L45" s="68">
        <v>1500</v>
      </c>
      <c r="M45" s="68"/>
      <c r="N45" s="68"/>
      <c r="O45" s="68"/>
      <c r="P45" s="68"/>
      <c r="Q45" s="68"/>
      <c r="R45" s="68">
        <f>SUM(C45:P45)</f>
        <v>5455</v>
      </c>
    </row>
    <row r="46" spans="1:18" ht="14.25">
      <c r="A46" s="91" t="s">
        <v>36</v>
      </c>
      <c r="B46" s="62"/>
      <c r="C46" s="73">
        <f>SUM(C44:C45)</f>
        <v>31900</v>
      </c>
      <c r="D46" s="62">
        <v>0</v>
      </c>
      <c r="E46" s="62">
        <f>SUM(E44:E45)</f>
        <v>21285</v>
      </c>
      <c r="F46" s="62">
        <v>0</v>
      </c>
      <c r="G46" s="62">
        <f>SUM(G44)</f>
        <v>25600</v>
      </c>
      <c r="H46" s="62">
        <f>SUM(H44)</f>
        <v>0</v>
      </c>
      <c r="I46" s="62">
        <f>SUM(I44)</f>
        <v>9000</v>
      </c>
      <c r="J46" s="62">
        <v>0</v>
      </c>
      <c r="K46" s="62">
        <v>0</v>
      </c>
      <c r="L46" s="62">
        <f>SUM(L44:L45)</f>
        <v>19900</v>
      </c>
      <c r="M46" s="62">
        <v>0</v>
      </c>
      <c r="N46" s="62">
        <v>0</v>
      </c>
      <c r="O46" s="62">
        <v>0</v>
      </c>
      <c r="P46" s="62">
        <v>0</v>
      </c>
      <c r="Q46" s="62"/>
      <c r="R46" s="62">
        <f>SUM(C46:P46)</f>
        <v>107685</v>
      </c>
    </row>
    <row r="47" spans="1:18" ht="15" thickBot="1">
      <c r="A47" s="92" t="s">
        <v>37</v>
      </c>
      <c r="B47" s="94"/>
      <c r="C47" s="74">
        <f>84000+21000+29073+31900+31900+31900+31900</f>
        <v>261673</v>
      </c>
      <c r="D47" s="62">
        <v>0</v>
      </c>
      <c r="E47" s="62">
        <f>85140+21285+21285+21285+21285+21285+21285</f>
        <v>212850</v>
      </c>
      <c r="F47" s="62">
        <v>0</v>
      </c>
      <c r="G47" s="62">
        <f>125250+18000-500+41311+25600+25600+25600</f>
        <v>260861</v>
      </c>
      <c r="H47" s="62">
        <f>7600+5700+5700</f>
        <v>19000</v>
      </c>
      <c r="I47" s="62">
        <f>36000+9000+9000+9000+9000+9000+9000</f>
        <v>90000</v>
      </c>
      <c r="J47" s="62">
        <v>0</v>
      </c>
      <c r="K47" s="62">
        <v>0</v>
      </c>
      <c r="L47" s="62">
        <f>79600+19900+19900+19900+19900+19900+19900</f>
        <v>199000</v>
      </c>
      <c r="M47" s="62">
        <v>0</v>
      </c>
      <c r="N47" s="62">
        <v>0</v>
      </c>
      <c r="O47" s="62">
        <v>0</v>
      </c>
      <c r="P47" s="62">
        <v>0</v>
      </c>
      <c r="Q47" s="62"/>
      <c r="R47" s="62">
        <f>SUM(C47:P47)</f>
        <v>1043384</v>
      </c>
    </row>
    <row r="48" spans="1:18" ht="15" thickTop="1">
      <c r="A48" s="93" t="s">
        <v>287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6"/>
      <c r="P48" s="75"/>
      <c r="Q48" s="75"/>
      <c r="R48" s="76"/>
    </row>
    <row r="49" spans="1:18" ht="14.25">
      <c r="A49" s="91" t="s">
        <v>288</v>
      </c>
      <c r="B49" s="77"/>
      <c r="C49" s="77"/>
      <c r="D49" s="77"/>
      <c r="E49" s="77"/>
      <c r="F49" s="77"/>
      <c r="G49" s="77"/>
      <c r="H49" s="77"/>
      <c r="I49" s="77" t="s">
        <v>264</v>
      </c>
      <c r="J49" s="77"/>
      <c r="K49" s="77"/>
      <c r="L49" s="77">
        <f>15400-350</f>
        <v>15050</v>
      </c>
      <c r="M49" s="77">
        <v>0</v>
      </c>
      <c r="N49" s="77"/>
      <c r="O49" s="71"/>
      <c r="P49" s="77"/>
      <c r="Q49" s="77"/>
      <c r="R49" s="71">
        <f aca="true" t="shared" si="1" ref="R49:R55">SUM(C49:P49)</f>
        <v>15050</v>
      </c>
    </row>
    <row r="50" spans="1:18" ht="14.25">
      <c r="A50" s="90" t="s">
        <v>289</v>
      </c>
      <c r="B50" s="78"/>
      <c r="C50" s="78">
        <v>0</v>
      </c>
      <c r="D50" s="78"/>
      <c r="E50" s="78">
        <v>0</v>
      </c>
      <c r="F50" s="78"/>
      <c r="G50" s="78"/>
      <c r="H50" s="78"/>
      <c r="I50" s="78"/>
      <c r="J50" s="78"/>
      <c r="K50" s="78"/>
      <c r="L50" s="78"/>
      <c r="M50" s="78"/>
      <c r="N50" s="78"/>
      <c r="O50" s="68"/>
      <c r="P50" s="78"/>
      <c r="Q50" s="78"/>
      <c r="R50" s="68">
        <f t="shared" si="1"/>
        <v>0</v>
      </c>
    </row>
    <row r="51" spans="1:18" ht="14.25">
      <c r="A51" s="91" t="s">
        <v>290</v>
      </c>
      <c r="B51" s="77"/>
      <c r="C51" s="77">
        <v>8000</v>
      </c>
      <c r="D51" s="77"/>
      <c r="E51" s="77">
        <v>3000</v>
      </c>
      <c r="F51" s="77"/>
      <c r="G51" s="77">
        <v>3000</v>
      </c>
      <c r="H51" s="77">
        <v>0</v>
      </c>
      <c r="I51" s="77"/>
      <c r="J51" s="77"/>
      <c r="K51" s="77"/>
      <c r="L51" s="77">
        <f>6000</f>
        <v>6000</v>
      </c>
      <c r="M51" s="77"/>
      <c r="N51" s="77"/>
      <c r="O51" s="71"/>
      <c r="P51" s="77"/>
      <c r="Q51" s="77"/>
      <c r="R51" s="71">
        <f>SUM(C51:Q51)</f>
        <v>20000</v>
      </c>
    </row>
    <row r="52" spans="1:18" ht="14.25">
      <c r="A52" s="91" t="s">
        <v>291</v>
      </c>
      <c r="B52" s="77"/>
      <c r="C52" s="77">
        <v>0</v>
      </c>
      <c r="D52" s="77"/>
      <c r="E52" s="77">
        <v>0</v>
      </c>
      <c r="F52" s="77">
        <v>0</v>
      </c>
      <c r="G52" s="77">
        <v>0</v>
      </c>
      <c r="H52" s="77"/>
      <c r="I52" s="77"/>
      <c r="J52" s="77"/>
      <c r="K52" s="77"/>
      <c r="L52" s="77">
        <v>0</v>
      </c>
      <c r="M52" s="77"/>
      <c r="N52" s="192"/>
      <c r="O52" s="71"/>
      <c r="P52" s="77"/>
      <c r="Q52" s="77"/>
      <c r="R52" s="71">
        <f t="shared" si="1"/>
        <v>0</v>
      </c>
    </row>
    <row r="53" spans="1:18" ht="14.25">
      <c r="A53" s="126" t="s">
        <v>292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193"/>
      <c r="O53" s="72"/>
      <c r="P53" s="79"/>
      <c r="Q53" s="79"/>
      <c r="R53" s="87"/>
    </row>
    <row r="54" spans="1:18" ht="14.25">
      <c r="A54" s="91" t="s">
        <v>36</v>
      </c>
      <c r="B54" s="62"/>
      <c r="C54" s="80">
        <f>SUM(C50:C53)</f>
        <v>8000</v>
      </c>
      <c r="D54" s="62">
        <v>0</v>
      </c>
      <c r="E54" s="62">
        <f>SUM(E51)</f>
        <v>3000</v>
      </c>
      <c r="F54" s="62">
        <v>0</v>
      </c>
      <c r="G54" s="62">
        <f>SUM(G51)</f>
        <v>3000</v>
      </c>
      <c r="H54" s="62">
        <v>0</v>
      </c>
      <c r="I54" s="62">
        <v>0</v>
      </c>
      <c r="J54" s="62">
        <v>0</v>
      </c>
      <c r="K54" s="62">
        <v>0</v>
      </c>
      <c r="L54" s="62">
        <f>SUM(L49+L51)</f>
        <v>21050</v>
      </c>
      <c r="M54" s="62">
        <f>SUM(M49:M52)</f>
        <v>0</v>
      </c>
      <c r="N54" s="62">
        <v>0</v>
      </c>
      <c r="O54" s="62">
        <v>0</v>
      </c>
      <c r="P54" s="62">
        <v>0</v>
      </c>
      <c r="Q54" s="62"/>
      <c r="R54" s="73">
        <f t="shared" si="1"/>
        <v>35050</v>
      </c>
    </row>
    <row r="55" spans="1:18" ht="15" thickBot="1">
      <c r="A55" s="92" t="s">
        <v>37</v>
      </c>
      <c r="B55" s="94"/>
      <c r="C55" s="81">
        <f>30960+17850+8000+8000+8000+14961+8000</f>
        <v>95771</v>
      </c>
      <c r="D55" s="94">
        <v>0</v>
      </c>
      <c r="E55" s="94">
        <f>23120+4700+4700+6000+16310+4700+3000</f>
        <v>62530</v>
      </c>
      <c r="F55" s="94">
        <v>0</v>
      </c>
      <c r="G55" s="94">
        <f>11400+3000+3000+3000+3000+3000+3000</f>
        <v>29400</v>
      </c>
      <c r="H55" s="94">
        <v>0</v>
      </c>
      <c r="I55" s="94">
        <v>0</v>
      </c>
      <c r="J55" s="94">
        <v>0</v>
      </c>
      <c r="K55" s="94">
        <v>0</v>
      </c>
      <c r="L55" s="94">
        <f>30700+15700+2400+9050+11150+21050</f>
        <v>90050</v>
      </c>
      <c r="M55" s="94">
        <v>0</v>
      </c>
      <c r="N55" s="94">
        <v>0</v>
      </c>
      <c r="O55" s="62">
        <v>0</v>
      </c>
      <c r="P55" s="94">
        <v>0</v>
      </c>
      <c r="Q55" s="94"/>
      <c r="R55" s="74">
        <f t="shared" si="1"/>
        <v>277751</v>
      </c>
    </row>
    <row r="56" spans="1:18" ht="15" thickTop="1">
      <c r="A56" s="95" t="s">
        <v>293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4"/>
      <c r="O56" s="85"/>
      <c r="P56" s="84"/>
      <c r="Q56" s="84"/>
      <c r="R56" s="85"/>
    </row>
    <row r="57" spans="1:18" ht="14.25">
      <c r="A57" s="95" t="s">
        <v>294</v>
      </c>
      <c r="B57" s="225" t="s">
        <v>457</v>
      </c>
      <c r="C57" s="83">
        <f>4300+400+3900+7500+7000+3042.65+5200</f>
        <v>31342.65</v>
      </c>
      <c r="D57" s="83"/>
      <c r="E57" s="83">
        <v>0</v>
      </c>
      <c r="F57" s="83"/>
      <c r="G57" s="83">
        <f>1300+5200</f>
        <v>6500</v>
      </c>
      <c r="H57" s="83"/>
      <c r="I57" s="83"/>
      <c r="J57" s="83"/>
      <c r="K57" s="83"/>
      <c r="L57" s="83"/>
      <c r="M57" s="83"/>
      <c r="N57" s="83"/>
      <c r="O57" s="84"/>
      <c r="P57" s="83"/>
      <c r="Q57" s="83"/>
      <c r="R57" s="84">
        <f>SUM(C57:P57)</f>
        <v>37842.65</v>
      </c>
    </row>
    <row r="58" spans="1:18" ht="14.25">
      <c r="A58" s="91" t="s">
        <v>295</v>
      </c>
      <c r="B58" s="77"/>
      <c r="C58" s="77">
        <v>750</v>
      </c>
      <c r="D58" s="77"/>
      <c r="E58" s="77" t="s">
        <v>472</v>
      </c>
      <c r="F58" s="77"/>
      <c r="G58" s="77"/>
      <c r="H58" s="77"/>
      <c r="I58" s="77"/>
      <c r="J58" s="77"/>
      <c r="K58" s="77"/>
      <c r="L58" s="77"/>
      <c r="M58" s="77"/>
      <c r="N58" s="77"/>
      <c r="O58" s="71"/>
      <c r="P58" s="77"/>
      <c r="Q58" s="77"/>
      <c r="R58" s="71">
        <f>SUM(C58:Q58)</f>
        <v>750</v>
      </c>
    </row>
    <row r="59" spans="1:18" ht="14.25">
      <c r="A59" s="95" t="s">
        <v>296</v>
      </c>
      <c r="B59" s="77"/>
      <c r="C59" s="77">
        <v>1240</v>
      </c>
      <c r="D59" s="77"/>
      <c r="E59" s="77">
        <v>0</v>
      </c>
      <c r="F59" s="77">
        <v>0</v>
      </c>
      <c r="G59" s="77">
        <f>2960+1300+2920</f>
        <v>7180</v>
      </c>
      <c r="H59" s="77">
        <v>37837.8</v>
      </c>
      <c r="I59" s="77"/>
      <c r="J59" s="77">
        <f>4375+1800+200</f>
        <v>6375</v>
      </c>
      <c r="K59" s="77"/>
      <c r="L59" s="77">
        <v>0</v>
      </c>
      <c r="M59" s="77"/>
      <c r="N59" s="77">
        <v>0</v>
      </c>
      <c r="O59" s="71">
        <v>0</v>
      </c>
      <c r="P59" s="77"/>
      <c r="Q59" s="77"/>
      <c r="R59" s="71">
        <f>SUM(C59:Q59)</f>
        <v>52632.8</v>
      </c>
    </row>
    <row r="60" spans="1:18" ht="14.25">
      <c r="A60" s="95" t="s">
        <v>297</v>
      </c>
      <c r="B60" s="77"/>
      <c r="C60" s="77">
        <v>2500</v>
      </c>
      <c r="D60" s="77"/>
      <c r="E60" s="77">
        <v>0</v>
      </c>
      <c r="F60" s="77"/>
      <c r="G60" s="77">
        <v>300</v>
      </c>
      <c r="H60" s="77">
        <v>0</v>
      </c>
      <c r="I60" s="77"/>
      <c r="J60" s="77"/>
      <c r="K60" s="77"/>
      <c r="L60" s="77">
        <v>0</v>
      </c>
      <c r="M60" s="77"/>
      <c r="N60" s="77"/>
      <c r="O60" s="71"/>
      <c r="P60" s="77"/>
      <c r="Q60" s="77"/>
      <c r="R60" s="71">
        <f>SUM(C60:Q60)</f>
        <v>2800</v>
      </c>
    </row>
    <row r="61" spans="1:18" ht="14.25">
      <c r="A61" s="91" t="s">
        <v>36</v>
      </c>
      <c r="B61" s="62"/>
      <c r="C61" s="80">
        <f>SUM(C57:C60)</f>
        <v>35832.65</v>
      </c>
      <c r="D61" s="62">
        <v>0</v>
      </c>
      <c r="E61" s="62">
        <f>SUM(E59:E60)</f>
        <v>0</v>
      </c>
      <c r="F61" s="62">
        <f>SUM(F59)</f>
        <v>0</v>
      </c>
      <c r="G61" s="62">
        <f>SUM(G57:G60)</f>
        <v>13980</v>
      </c>
      <c r="H61" s="62">
        <f>SUM(H59:H60)</f>
        <v>37837.8</v>
      </c>
      <c r="I61" s="62">
        <v>0</v>
      </c>
      <c r="J61" s="62">
        <f>SUM(J59)</f>
        <v>6375</v>
      </c>
      <c r="K61" s="62">
        <v>0</v>
      </c>
      <c r="L61" s="62">
        <f>SUM(L59:L60)</f>
        <v>0</v>
      </c>
      <c r="M61" s="62">
        <v>0</v>
      </c>
      <c r="N61" s="62">
        <f>SUM(N59)</f>
        <v>0</v>
      </c>
      <c r="O61" s="62">
        <f>SUM(O57:O60)</f>
        <v>0</v>
      </c>
      <c r="P61" s="62">
        <v>0</v>
      </c>
      <c r="Q61" s="62"/>
      <c r="R61" s="73">
        <f>SUM(C61:P61)</f>
        <v>94025.45000000001</v>
      </c>
    </row>
    <row r="62" spans="1:18" ht="15" thickBot="1">
      <c r="A62" s="92" t="s">
        <v>37</v>
      </c>
      <c r="B62" s="94"/>
      <c r="C62" s="81">
        <f>205535.55+32900+351660.05+78275.65+292271.2+42108+35832.65</f>
        <v>1038583.1</v>
      </c>
      <c r="D62" s="94">
        <v>0</v>
      </c>
      <c r="E62" s="94">
        <f>36550+5000+3000</f>
        <v>44550</v>
      </c>
      <c r="F62" s="94">
        <f>19300+18700</f>
        <v>38000</v>
      </c>
      <c r="G62" s="94">
        <f>10867.5+50143+2500+2816+13980</f>
        <v>80306.5</v>
      </c>
      <c r="H62" s="94">
        <f>66528+45464+31648+40464+21818+37837.8</f>
        <v>243759.8</v>
      </c>
      <c r="I62" s="94">
        <v>0</v>
      </c>
      <c r="J62" s="94">
        <f>70000+278100+63000+6375</f>
        <v>417475</v>
      </c>
      <c r="K62" s="94">
        <v>0</v>
      </c>
      <c r="L62" s="94">
        <f>1150+1250+2500+1390</f>
        <v>6290</v>
      </c>
      <c r="M62" s="94">
        <v>0</v>
      </c>
      <c r="N62" s="94">
        <f>38000+62000</f>
        <v>100000</v>
      </c>
      <c r="O62" s="94">
        <f>152694</f>
        <v>152694</v>
      </c>
      <c r="P62" s="94">
        <v>0</v>
      </c>
      <c r="Q62" s="94"/>
      <c r="R62" s="74">
        <f>SUM(C62:Q62)</f>
        <v>2121658.4000000004</v>
      </c>
    </row>
    <row r="63" spans="1:18" ht="15" thickTop="1">
      <c r="A63" s="95" t="s">
        <v>298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4"/>
      <c r="O63" s="85"/>
      <c r="P63" s="84"/>
      <c r="Q63" s="84"/>
      <c r="R63" s="85"/>
    </row>
    <row r="64" spans="1:18" ht="14.25">
      <c r="A64" s="95" t="s">
        <v>299</v>
      </c>
      <c r="B64" s="83"/>
      <c r="C64" s="83">
        <v>0</v>
      </c>
      <c r="D64" s="83"/>
      <c r="E64" s="83">
        <f>5100+2820+30302+17503</f>
        <v>55725</v>
      </c>
      <c r="F64" s="83"/>
      <c r="G64" s="83">
        <v>0</v>
      </c>
      <c r="H64" s="83"/>
      <c r="I64" s="83"/>
      <c r="J64" s="83"/>
      <c r="K64" s="83"/>
      <c r="L64" s="83"/>
      <c r="M64" s="83"/>
      <c r="N64" s="83"/>
      <c r="O64" s="84"/>
      <c r="P64" s="83"/>
      <c r="Q64" s="83"/>
      <c r="R64" s="84">
        <f>SUM(C64:P64)</f>
        <v>55725</v>
      </c>
    </row>
    <row r="65" spans="1:18" ht="14.25">
      <c r="A65" s="91" t="s">
        <v>300</v>
      </c>
      <c r="B65" s="77"/>
      <c r="C65" s="77">
        <v>0</v>
      </c>
      <c r="D65" s="77"/>
      <c r="E65" s="77"/>
      <c r="F65" s="77"/>
      <c r="G65" s="77">
        <v>0</v>
      </c>
      <c r="H65" s="77"/>
      <c r="I65" s="77"/>
      <c r="J65" s="77"/>
      <c r="K65" s="77"/>
      <c r="L65" s="77"/>
      <c r="M65" s="77"/>
      <c r="N65" s="77"/>
      <c r="O65" s="71"/>
      <c r="P65" s="77"/>
      <c r="Q65" s="77"/>
      <c r="R65" s="71"/>
    </row>
    <row r="66" spans="1:18" ht="14.25">
      <c r="A66" s="95" t="s">
        <v>301</v>
      </c>
      <c r="B66" s="77"/>
      <c r="C66" s="77"/>
      <c r="D66" s="77"/>
      <c r="E66" s="77">
        <f>10984+600</f>
        <v>11584</v>
      </c>
      <c r="F66" s="77"/>
      <c r="G66" s="77">
        <v>18119</v>
      </c>
      <c r="H66" s="77">
        <v>0</v>
      </c>
      <c r="I66" s="77"/>
      <c r="J66" s="77" t="s">
        <v>264</v>
      </c>
      <c r="K66" s="77"/>
      <c r="L66" s="77"/>
      <c r="M66" s="77"/>
      <c r="N66" s="77"/>
      <c r="O66" s="71"/>
      <c r="P66" s="77"/>
      <c r="Q66" s="77"/>
      <c r="R66" s="71">
        <f>SUM(C66:P66)</f>
        <v>29703</v>
      </c>
    </row>
    <row r="67" spans="1:18" ht="14.25">
      <c r="A67" s="95" t="s">
        <v>302</v>
      </c>
      <c r="B67" s="77"/>
      <c r="C67" s="77"/>
      <c r="D67" s="77"/>
      <c r="E67" s="77"/>
      <c r="F67" s="77"/>
      <c r="G67" s="77"/>
      <c r="H67" s="77">
        <f>77657.16</f>
        <v>77657.16</v>
      </c>
      <c r="I67" s="77"/>
      <c r="J67" s="77"/>
      <c r="K67" s="77"/>
      <c r="L67" s="77"/>
      <c r="M67" s="77"/>
      <c r="N67" s="77"/>
      <c r="O67" s="71"/>
      <c r="P67" s="77"/>
      <c r="Q67" s="77"/>
      <c r="R67" s="71">
        <f>SUM(H67:Q67)</f>
        <v>77657.16</v>
      </c>
    </row>
    <row r="68" spans="1:18" ht="14.25">
      <c r="A68" s="95" t="s">
        <v>303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1"/>
      <c r="P68" s="77"/>
      <c r="Q68" s="77"/>
      <c r="R68" s="71"/>
    </row>
    <row r="69" spans="1:18" ht="14.25">
      <c r="A69" s="95" t="s">
        <v>304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>
        <v>0</v>
      </c>
      <c r="M69" s="77"/>
      <c r="N69" s="77"/>
      <c r="O69" s="71"/>
      <c r="P69" s="77"/>
      <c r="Q69" s="77"/>
      <c r="R69" s="71">
        <f>SUM(L69:Q69)</f>
        <v>0</v>
      </c>
    </row>
    <row r="70" spans="1:18" ht="14.25">
      <c r="A70" s="95" t="s">
        <v>305</v>
      </c>
      <c r="B70" s="77"/>
      <c r="C70" s="77">
        <v>0</v>
      </c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1"/>
      <c r="P70" s="77"/>
      <c r="Q70" s="77"/>
      <c r="R70" s="71">
        <f>SUM(C70:Q70)</f>
        <v>0</v>
      </c>
    </row>
    <row r="71" spans="1:18" ht="14.25">
      <c r="A71" s="95" t="s">
        <v>306</v>
      </c>
      <c r="B71" s="77"/>
      <c r="C71" s="77">
        <v>12380</v>
      </c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1"/>
      <c r="P71" s="77"/>
      <c r="Q71" s="77"/>
      <c r="R71" s="71">
        <f>SUM(C71:Q71)</f>
        <v>12380</v>
      </c>
    </row>
    <row r="72" spans="1:18" ht="14.25">
      <c r="A72" s="95" t="s">
        <v>307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1"/>
      <c r="P72" s="77"/>
      <c r="Q72" s="77"/>
      <c r="R72" s="71">
        <v>0</v>
      </c>
    </row>
    <row r="73" spans="1:18" ht="14.25">
      <c r="A73" s="95" t="s">
        <v>308</v>
      </c>
      <c r="B73" s="77"/>
      <c r="C73" s="77">
        <v>8100</v>
      </c>
      <c r="D73" s="77"/>
      <c r="E73" s="77">
        <v>8700</v>
      </c>
      <c r="F73" s="77"/>
      <c r="G73" s="77"/>
      <c r="H73" s="77"/>
      <c r="I73" s="77"/>
      <c r="J73" s="77"/>
      <c r="K73" s="77"/>
      <c r="L73" s="77">
        <v>0</v>
      </c>
      <c r="M73" s="77"/>
      <c r="N73" s="77"/>
      <c r="O73" s="71"/>
      <c r="P73" s="77"/>
      <c r="Q73" s="77"/>
      <c r="R73" s="71">
        <f>SUM(C73:Q73)</f>
        <v>16800</v>
      </c>
    </row>
    <row r="74" spans="1:18" ht="14.25">
      <c r="A74" s="95" t="s">
        <v>309</v>
      </c>
      <c r="B74" s="77"/>
      <c r="C74" s="77"/>
      <c r="D74" s="77"/>
      <c r="E74" s="77"/>
      <c r="F74" s="77"/>
      <c r="G74" s="77">
        <v>0</v>
      </c>
      <c r="H74" s="77">
        <v>20000</v>
      </c>
      <c r="I74" s="77"/>
      <c r="J74" s="77"/>
      <c r="K74" s="77"/>
      <c r="L74" s="77"/>
      <c r="M74" s="77"/>
      <c r="N74" s="77"/>
      <c r="O74" s="71"/>
      <c r="P74" s="77"/>
      <c r="Q74" s="77"/>
      <c r="R74" s="71">
        <f>SUM(G74)</f>
        <v>0</v>
      </c>
    </row>
    <row r="75" spans="1:18" ht="14.25">
      <c r="A75" s="95" t="s">
        <v>310</v>
      </c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1"/>
      <c r="P75" s="77"/>
      <c r="Q75" s="77"/>
      <c r="R75" s="71"/>
    </row>
    <row r="76" spans="1:18" ht="14.25">
      <c r="A76" s="91" t="s">
        <v>36</v>
      </c>
      <c r="B76" s="62"/>
      <c r="C76" s="80">
        <f>SUM(C64:C75)</f>
        <v>20480</v>
      </c>
      <c r="D76" s="62">
        <f>SUM(D66:D75)</f>
        <v>0</v>
      </c>
      <c r="E76" s="62">
        <f>SUM(E64:E75)</f>
        <v>76009</v>
      </c>
      <c r="F76" s="62">
        <v>0</v>
      </c>
      <c r="G76" s="62">
        <f>SUM(G66+G74)</f>
        <v>18119</v>
      </c>
      <c r="H76" s="62">
        <f>SUM(H64:H75)</f>
        <v>97657.16</v>
      </c>
      <c r="I76" s="62">
        <v>0</v>
      </c>
      <c r="J76" s="62">
        <v>0</v>
      </c>
      <c r="K76" s="62">
        <v>0</v>
      </c>
      <c r="L76" s="62">
        <f>SUM(L65:L75)</f>
        <v>0</v>
      </c>
      <c r="M76" s="62">
        <v>0</v>
      </c>
      <c r="N76" s="62">
        <v>0</v>
      </c>
      <c r="O76" s="62">
        <v>0</v>
      </c>
      <c r="P76" s="62">
        <v>0</v>
      </c>
      <c r="Q76" s="62"/>
      <c r="R76" s="73">
        <f>SUM(R64:R75)</f>
        <v>192265.16</v>
      </c>
    </row>
    <row r="77" spans="1:18" ht="15" thickBot="1">
      <c r="A77" s="92" t="s">
        <v>37</v>
      </c>
      <c r="B77" s="94"/>
      <c r="C77" s="81">
        <f>44800+8040+18250+11900+14620+14240+20480</f>
        <v>132330</v>
      </c>
      <c r="D77" s="94">
        <v>0</v>
      </c>
      <c r="E77" s="94">
        <f>132291+5740+260+40214+380+260+76009</f>
        <v>255154</v>
      </c>
      <c r="F77" s="94">
        <v>0</v>
      </c>
      <c r="G77" s="94">
        <f>18119</f>
        <v>18119</v>
      </c>
      <c r="H77" s="94">
        <f>149567.6+74656.4+278537.52+36979.6+97657.16</f>
        <v>637398.28</v>
      </c>
      <c r="I77" s="94">
        <v>0</v>
      </c>
      <c r="J77" s="94">
        <v>0</v>
      </c>
      <c r="K77" s="94">
        <v>0</v>
      </c>
      <c r="L77" s="94">
        <f>20740+1500</f>
        <v>22240</v>
      </c>
      <c r="M77" s="94">
        <v>0</v>
      </c>
      <c r="N77" s="94">
        <v>0</v>
      </c>
      <c r="O77" s="94">
        <v>0</v>
      </c>
      <c r="P77" s="94">
        <v>0</v>
      </c>
      <c r="Q77" s="94"/>
      <c r="R77" s="74">
        <f>SUM(C77:Q77)</f>
        <v>1065241.28</v>
      </c>
    </row>
    <row r="78" ht="15" thickTop="1"/>
    <row r="81" spans="1:18" s="65" customFormat="1" ht="13.5" customHeight="1">
      <c r="A81" s="66" t="s">
        <v>118</v>
      </c>
      <c r="B81" s="357" t="s">
        <v>95</v>
      </c>
      <c r="C81" s="358" t="s">
        <v>96</v>
      </c>
      <c r="D81" s="358"/>
      <c r="E81" s="358"/>
      <c r="F81" s="88" t="s">
        <v>97</v>
      </c>
      <c r="G81" s="358" t="s">
        <v>98</v>
      </c>
      <c r="H81" s="358"/>
      <c r="I81" s="358" t="s">
        <v>99</v>
      </c>
      <c r="J81" s="358"/>
      <c r="K81" s="88" t="s">
        <v>100</v>
      </c>
      <c r="L81" s="358" t="s">
        <v>101</v>
      </c>
      <c r="M81" s="358"/>
      <c r="N81" s="358" t="s">
        <v>102</v>
      </c>
      <c r="O81" s="358"/>
      <c r="P81" s="359" t="s">
        <v>116</v>
      </c>
      <c r="Q81" s="360"/>
      <c r="R81" s="355" t="s">
        <v>19</v>
      </c>
    </row>
    <row r="82" spans="1:18" s="65" customFormat="1" ht="13.5" customHeight="1">
      <c r="A82" s="67" t="s">
        <v>119</v>
      </c>
      <c r="B82" s="357"/>
      <c r="C82" s="88" t="s">
        <v>103</v>
      </c>
      <c r="D82" s="88" t="s">
        <v>114</v>
      </c>
      <c r="E82" s="88" t="s">
        <v>104</v>
      </c>
      <c r="F82" s="88" t="s">
        <v>105</v>
      </c>
      <c r="G82" s="88" t="s">
        <v>106</v>
      </c>
      <c r="H82" s="88" t="s">
        <v>107</v>
      </c>
      <c r="I82" s="88" t="s">
        <v>108</v>
      </c>
      <c r="J82" s="88" t="s">
        <v>109</v>
      </c>
      <c r="K82" s="88" t="s">
        <v>115</v>
      </c>
      <c r="L82" s="88" t="s">
        <v>110</v>
      </c>
      <c r="M82" s="88" t="s">
        <v>111</v>
      </c>
      <c r="N82" s="88" t="s">
        <v>112</v>
      </c>
      <c r="O82" s="88" t="s">
        <v>113</v>
      </c>
      <c r="P82" s="88" t="s">
        <v>336</v>
      </c>
      <c r="Q82" s="201" t="s">
        <v>117</v>
      </c>
      <c r="R82" s="356"/>
    </row>
    <row r="83" spans="1:18" ht="13.5" customHeight="1">
      <c r="A83" s="93" t="s">
        <v>311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</row>
    <row r="84" spans="1:18" ht="13.5" customHeight="1">
      <c r="A84" s="95" t="s">
        <v>312</v>
      </c>
      <c r="B84" s="68"/>
      <c r="C84" s="68">
        <v>0</v>
      </c>
      <c r="D84" s="68"/>
      <c r="E84" s="68"/>
      <c r="F84" s="68"/>
      <c r="G84" s="68">
        <v>0</v>
      </c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>
        <f>SUM(C84:P84)</f>
        <v>0</v>
      </c>
    </row>
    <row r="85" spans="1:18" ht="13.5" customHeight="1">
      <c r="A85" s="91" t="s">
        <v>313</v>
      </c>
      <c r="B85" s="71"/>
      <c r="C85" s="71">
        <v>290</v>
      </c>
      <c r="D85" s="71"/>
      <c r="E85" s="71"/>
      <c r="F85" s="71"/>
      <c r="G85" s="71">
        <v>130</v>
      </c>
      <c r="H85" s="71"/>
      <c r="I85" s="71" t="s">
        <v>264</v>
      </c>
      <c r="J85" s="71"/>
      <c r="K85" s="71"/>
      <c r="L85" s="71"/>
      <c r="M85" s="71"/>
      <c r="N85" s="71"/>
      <c r="O85" s="71"/>
      <c r="P85" s="71"/>
      <c r="Q85" s="71"/>
      <c r="R85" s="71">
        <f>SUM(C85:P85)</f>
        <v>420</v>
      </c>
    </row>
    <row r="86" spans="1:18" ht="13.5" customHeight="1">
      <c r="A86" s="91" t="s">
        <v>314</v>
      </c>
      <c r="B86" s="71"/>
      <c r="C86" s="71">
        <v>1020.78</v>
      </c>
      <c r="D86" s="71"/>
      <c r="E86" s="71"/>
      <c r="F86" s="71"/>
      <c r="G86" s="71">
        <v>428</v>
      </c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>
        <f>SUM(C86:P86)</f>
        <v>1448.78</v>
      </c>
    </row>
    <row r="87" spans="1:18" ht="13.5" customHeight="1">
      <c r="A87" s="90" t="s">
        <v>315</v>
      </c>
      <c r="B87" s="71"/>
      <c r="C87" s="71">
        <v>0</v>
      </c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>
        <f>SUM(C87)</f>
        <v>0</v>
      </c>
    </row>
    <row r="88" spans="1:18" ht="13.5" customHeight="1">
      <c r="A88" s="91" t="s">
        <v>316</v>
      </c>
      <c r="B88" s="72"/>
      <c r="C88" s="72">
        <v>5339.3</v>
      </c>
      <c r="D88" s="72"/>
      <c r="E88" s="72"/>
      <c r="F88" s="72"/>
      <c r="G88" s="72">
        <v>1701.3</v>
      </c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>
        <f>SUM(C88:P88)</f>
        <v>7040.6</v>
      </c>
    </row>
    <row r="89" spans="1:18" ht="13.5" customHeight="1">
      <c r="A89" s="91" t="s">
        <v>36</v>
      </c>
      <c r="B89" s="62"/>
      <c r="C89" s="62">
        <f>SUM(C84:C88)</f>
        <v>6650.08</v>
      </c>
      <c r="D89" s="62">
        <v>0</v>
      </c>
      <c r="E89" s="62">
        <v>0</v>
      </c>
      <c r="F89" s="62">
        <v>0</v>
      </c>
      <c r="G89" s="62">
        <f>SUM(G84:G88)</f>
        <v>2259.3</v>
      </c>
      <c r="H89" s="62">
        <v>0</v>
      </c>
      <c r="I89" s="62">
        <v>0</v>
      </c>
      <c r="J89" s="62">
        <v>0</v>
      </c>
      <c r="K89" s="62">
        <v>0</v>
      </c>
      <c r="L89" s="62">
        <v>0</v>
      </c>
      <c r="M89" s="62">
        <v>0</v>
      </c>
      <c r="N89" s="62">
        <v>0</v>
      </c>
      <c r="O89" s="62">
        <v>0</v>
      </c>
      <c r="P89" s="62">
        <v>0</v>
      </c>
      <c r="Q89" s="62"/>
      <c r="R89" s="73">
        <f>SUM(R84:R88)</f>
        <v>8909.380000000001</v>
      </c>
    </row>
    <row r="90" spans="1:18" ht="13.5" customHeight="1" thickBot="1">
      <c r="A90" s="92" t="s">
        <v>37</v>
      </c>
      <c r="B90" s="62"/>
      <c r="C90" s="62">
        <f>59629.3+13880+19133.5+12282.38+17764.91+46672.64+6650.08</f>
        <v>176012.81</v>
      </c>
      <c r="D90" s="62">
        <v>0</v>
      </c>
      <c r="E90" s="62">
        <v>0</v>
      </c>
      <c r="F90" s="62">
        <v>0</v>
      </c>
      <c r="G90" s="62">
        <f>15016.78+40+5023.51+1463.74+3498.06+7981.74+2259.3</f>
        <v>35283.130000000005</v>
      </c>
      <c r="H90" s="62">
        <v>0</v>
      </c>
      <c r="I90" s="62">
        <v>0</v>
      </c>
      <c r="J90" s="62">
        <v>0</v>
      </c>
      <c r="K90" s="62">
        <v>0</v>
      </c>
      <c r="L90" s="62">
        <v>0</v>
      </c>
      <c r="M90" s="62">
        <v>0</v>
      </c>
      <c r="N90" s="62">
        <v>0</v>
      </c>
      <c r="O90" s="62">
        <v>0</v>
      </c>
      <c r="P90" s="62">
        <v>0</v>
      </c>
      <c r="Q90" s="199"/>
      <c r="R90" s="74">
        <f>SUM(C90:P90)</f>
        <v>211295.94</v>
      </c>
    </row>
    <row r="91" spans="1:18" ht="13.5" customHeight="1" thickTop="1">
      <c r="A91" s="93" t="s">
        <v>317</v>
      </c>
      <c r="B91" s="75"/>
      <c r="C91" s="75"/>
      <c r="D91" s="75"/>
      <c r="E91" s="75"/>
      <c r="F91" s="75"/>
      <c r="G91" s="75"/>
      <c r="H91" s="75"/>
      <c r="I91" s="75"/>
      <c r="J91" s="85"/>
      <c r="K91" s="75"/>
      <c r="L91" s="75"/>
      <c r="M91" s="75"/>
      <c r="N91" s="75"/>
      <c r="O91" s="76"/>
      <c r="P91" s="75"/>
      <c r="Q91" s="75"/>
      <c r="R91" s="76"/>
    </row>
    <row r="92" spans="1:18" ht="13.5" customHeight="1">
      <c r="A92" s="91" t="s">
        <v>318</v>
      </c>
      <c r="B92" s="77"/>
      <c r="C92" s="77"/>
      <c r="D92" s="77"/>
      <c r="E92" s="77"/>
      <c r="F92" s="77"/>
      <c r="G92" s="77">
        <v>0</v>
      </c>
      <c r="H92" s="77"/>
      <c r="I92" s="77"/>
      <c r="J92" s="83"/>
      <c r="K92" s="77"/>
      <c r="L92" s="77"/>
      <c r="M92" s="77"/>
      <c r="N92" s="77"/>
      <c r="O92" s="71"/>
      <c r="P92" s="77"/>
      <c r="Q92" s="77"/>
      <c r="R92" s="71">
        <f>SUM(G92:Q92)</f>
        <v>0</v>
      </c>
    </row>
    <row r="93" spans="1:18" ht="13.5" customHeight="1">
      <c r="A93" s="91" t="s">
        <v>319</v>
      </c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>
        <v>34900</v>
      </c>
      <c r="M93" s="77"/>
      <c r="N93" s="77"/>
      <c r="O93" s="71"/>
      <c r="P93" s="77"/>
      <c r="Q93" s="77"/>
      <c r="R93" s="71">
        <f>SUM(L93:Q93)</f>
        <v>34900</v>
      </c>
    </row>
    <row r="94" spans="1:18" ht="13.5" customHeight="1">
      <c r="A94" s="91" t="s">
        <v>320</v>
      </c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1"/>
      <c r="P94" s="77"/>
      <c r="Q94" s="77"/>
      <c r="R94" s="71"/>
    </row>
    <row r="95" spans="1:18" ht="13.5" customHeight="1">
      <c r="A95" s="91" t="s">
        <v>321</v>
      </c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1"/>
      <c r="P95" s="77"/>
      <c r="Q95" s="77"/>
      <c r="R95" s="71"/>
    </row>
    <row r="96" spans="1:18" ht="13.5" customHeight="1">
      <c r="A96" s="91" t="s">
        <v>322</v>
      </c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1"/>
      <c r="P96" s="77"/>
      <c r="Q96" s="77"/>
      <c r="R96" s="71"/>
    </row>
    <row r="97" spans="1:18" ht="13.5" customHeight="1">
      <c r="A97" s="95" t="s">
        <v>323</v>
      </c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4"/>
      <c r="P97" s="83"/>
      <c r="Q97" s="83"/>
      <c r="R97" s="84"/>
    </row>
    <row r="98" spans="1:18" ht="13.5" customHeight="1">
      <c r="A98" s="91" t="s">
        <v>324</v>
      </c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1"/>
      <c r="P98" s="77"/>
      <c r="Q98" s="77"/>
      <c r="R98" s="71"/>
    </row>
    <row r="99" spans="1:18" ht="13.5" customHeight="1">
      <c r="A99" s="95" t="s">
        <v>325</v>
      </c>
      <c r="B99" s="78"/>
      <c r="C99" s="78">
        <v>30000</v>
      </c>
      <c r="D99" s="78"/>
      <c r="E99" s="78"/>
      <c r="F99" s="78"/>
      <c r="G99" s="78">
        <v>0</v>
      </c>
      <c r="H99" s="153"/>
      <c r="I99" s="78">
        <v>18370</v>
      </c>
      <c r="J99" s="78"/>
      <c r="K99" s="78"/>
      <c r="L99" s="78">
        <v>0</v>
      </c>
      <c r="M99" s="78"/>
      <c r="N99" s="78"/>
      <c r="O99" s="68"/>
      <c r="P99" s="78"/>
      <c r="Q99" s="78"/>
      <c r="R99" s="223">
        <f>SUM(C99+I99)</f>
        <v>48370</v>
      </c>
    </row>
    <row r="100" spans="1:18" ht="13.5" customHeight="1">
      <c r="A100" s="91" t="s">
        <v>36</v>
      </c>
      <c r="B100" s="62"/>
      <c r="C100" s="62">
        <f>SUM(C99)</f>
        <v>30000</v>
      </c>
      <c r="D100" s="62">
        <v>0</v>
      </c>
      <c r="E100" s="62">
        <v>0</v>
      </c>
      <c r="F100" s="62">
        <v>0</v>
      </c>
      <c r="G100" s="73">
        <f>SUM(G92)</f>
        <v>0</v>
      </c>
      <c r="H100" s="62">
        <v>0</v>
      </c>
      <c r="I100" s="62">
        <f>SUM(I99)</f>
        <v>18370</v>
      </c>
      <c r="J100" s="62">
        <v>0</v>
      </c>
      <c r="K100" s="62">
        <v>0</v>
      </c>
      <c r="L100" s="62">
        <f>SUM(L93)</f>
        <v>34900</v>
      </c>
      <c r="M100" s="62">
        <v>0</v>
      </c>
      <c r="N100" s="62">
        <v>0</v>
      </c>
      <c r="O100" s="62">
        <v>0</v>
      </c>
      <c r="P100" s="62">
        <v>0</v>
      </c>
      <c r="Q100" s="62"/>
      <c r="R100" s="73">
        <f>SUM(C100:Q100)</f>
        <v>83270</v>
      </c>
    </row>
    <row r="101" spans="1:18" ht="13.5" customHeight="1" thickBot="1">
      <c r="A101" s="92" t="s">
        <v>37</v>
      </c>
      <c r="B101" s="94"/>
      <c r="C101" s="94">
        <f>13060.45+6238.1+30000</f>
        <v>49298.55</v>
      </c>
      <c r="D101" s="94">
        <v>0</v>
      </c>
      <c r="E101" s="94">
        <v>0</v>
      </c>
      <c r="F101" s="94">
        <v>0</v>
      </c>
      <c r="G101" s="94">
        <v>55000</v>
      </c>
      <c r="H101" s="94">
        <v>0</v>
      </c>
      <c r="I101" s="94">
        <f>18370</f>
        <v>18370</v>
      </c>
      <c r="J101" s="94">
        <v>0</v>
      </c>
      <c r="K101" s="94">
        <v>0</v>
      </c>
      <c r="L101" s="94">
        <f>5350+34900</f>
        <v>40250</v>
      </c>
      <c r="M101" s="94">
        <v>0</v>
      </c>
      <c r="N101" s="94">
        <v>0</v>
      </c>
      <c r="O101" s="94">
        <v>0</v>
      </c>
      <c r="P101" s="94">
        <v>0</v>
      </c>
      <c r="Q101" s="94"/>
      <c r="R101" s="74">
        <f>SUM(C101:Q101)</f>
        <v>162918.55</v>
      </c>
    </row>
    <row r="102" spans="1:18" ht="13.5" customHeight="1" thickTop="1">
      <c r="A102" s="95" t="s">
        <v>326</v>
      </c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4"/>
      <c r="O102" s="84"/>
      <c r="P102" s="84"/>
      <c r="Q102" s="84"/>
      <c r="R102" s="85"/>
    </row>
    <row r="103" spans="1:18" ht="13.5" customHeight="1">
      <c r="A103" s="95" t="s">
        <v>327</v>
      </c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4"/>
      <c r="P103" s="83"/>
      <c r="Q103" s="83"/>
      <c r="R103" s="84"/>
    </row>
    <row r="104" spans="1:18" ht="13.5" customHeight="1">
      <c r="A104" s="95" t="s">
        <v>328</v>
      </c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4"/>
      <c r="P104" s="83"/>
      <c r="Q104" s="83"/>
      <c r="R104" s="84"/>
    </row>
    <row r="105" spans="1:18" ht="13.5" customHeight="1">
      <c r="A105" s="91" t="s">
        <v>329</v>
      </c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1"/>
      <c r="P105" s="77"/>
      <c r="Q105" s="77">
        <v>96250</v>
      </c>
      <c r="R105" s="71">
        <f>SUM(Q105)</f>
        <v>96250</v>
      </c>
    </row>
    <row r="106" spans="1:18" ht="13.5" customHeight="1">
      <c r="A106" s="91" t="s">
        <v>36</v>
      </c>
      <c r="B106" s="62"/>
      <c r="C106" s="62">
        <f>SUM(C104:C105)</f>
        <v>0</v>
      </c>
      <c r="D106" s="62">
        <v>0</v>
      </c>
      <c r="E106" s="62">
        <v>0</v>
      </c>
      <c r="F106" s="62">
        <v>0</v>
      </c>
      <c r="G106" s="62">
        <v>0</v>
      </c>
      <c r="H106" s="62">
        <v>0</v>
      </c>
      <c r="I106" s="62">
        <v>0</v>
      </c>
      <c r="J106" s="62">
        <v>0</v>
      </c>
      <c r="K106" s="62">
        <v>0</v>
      </c>
      <c r="L106" s="62">
        <v>0</v>
      </c>
      <c r="M106" s="62">
        <v>0</v>
      </c>
      <c r="N106" s="62">
        <v>0</v>
      </c>
      <c r="O106" s="62">
        <v>0</v>
      </c>
      <c r="P106" s="62">
        <v>0</v>
      </c>
      <c r="Q106" s="62">
        <f>SUM(Q105)</f>
        <v>96250</v>
      </c>
      <c r="R106" s="62">
        <f>SUM(D106:Q106)</f>
        <v>96250</v>
      </c>
    </row>
    <row r="107" spans="1:18" ht="13.5" customHeight="1" thickBot="1">
      <c r="A107" s="92" t="s">
        <v>37</v>
      </c>
      <c r="B107" s="94"/>
      <c r="C107" s="94">
        <v>0</v>
      </c>
      <c r="D107" s="94">
        <v>0</v>
      </c>
      <c r="E107" s="94">
        <v>0</v>
      </c>
      <c r="F107" s="94">
        <v>0</v>
      </c>
      <c r="G107" s="94">
        <v>0</v>
      </c>
      <c r="H107" s="94">
        <v>0</v>
      </c>
      <c r="I107" s="94">
        <v>0</v>
      </c>
      <c r="J107" s="94">
        <v>0</v>
      </c>
      <c r="K107" s="94">
        <v>0</v>
      </c>
      <c r="L107" s="94">
        <v>0</v>
      </c>
      <c r="M107" s="94">
        <v>0</v>
      </c>
      <c r="N107" s="94">
        <v>0</v>
      </c>
      <c r="O107" s="94">
        <v>0</v>
      </c>
      <c r="P107" s="94">
        <v>0</v>
      </c>
      <c r="Q107" s="94">
        <f>99120+96250</f>
        <v>195370</v>
      </c>
      <c r="R107" s="74">
        <f>SUM(Q107)</f>
        <v>195370</v>
      </c>
    </row>
    <row r="108" spans="1:18" ht="13.5" customHeight="1" thickTop="1">
      <c r="A108" s="95" t="s">
        <v>330</v>
      </c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4"/>
      <c r="N108" s="83"/>
      <c r="O108" s="85"/>
      <c r="P108" s="83"/>
      <c r="Q108" s="83"/>
      <c r="R108" s="71"/>
    </row>
    <row r="109" spans="1:18" ht="13.5" customHeight="1">
      <c r="A109" s="95" t="s">
        <v>331</v>
      </c>
      <c r="B109" s="71"/>
      <c r="C109" s="77">
        <v>0</v>
      </c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1"/>
      <c r="P109" s="77"/>
      <c r="Q109" s="77"/>
      <c r="R109" s="71">
        <f>SUM(C109:Q109)</f>
        <v>0</v>
      </c>
    </row>
    <row r="110" spans="1:18" ht="13.5" customHeight="1">
      <c r="A110" s="95" t="s">
        <v>332</v>
      </c>
      <c r="B110" s="78"/>
      <c r="C110" s="77">
        <v>0</v>
      </c>
      <c r="D110" s="77"/>
      <c r="E110" s="77"/>
      <c r="F110" s="77"/>
      <c r="G110" s="77"/>
      <c r="H110" s="77">
        <f>152540+73080+45820</f>
        <v>271440</v>
      </c>
      <c r="I110" s="77"/>
      <c r="J110" s="77"/>
      <c r="K110" s="77"/>
      <c r="L110" s="77"/>
      <c r="M110" s="77"/>
      <c r="N110" s="77"/>
      <c r="O110" s="77">
        <v>0</v>
      </c>
      <c r="P110" s="71"/>
      <c r="Q110" s="71"/>
      <c r="R110" s="71">
        <f>SUM(C110:P110)</f>
        <v>271440</v>
      </c>
    </row>
    <row r="111" spans="1:18" ht="13.5" customHeight="1">
      <c r="A111" s="95" t="s">
        <v>430</v>
      </c>
      <c r="B111" s="78"/>
      <c r="C111" s="77"/>
      <c r="D111" s="77"/>
      <c r="E111" s="77"/>
      <c r="F111" s="77"/>
      <c r="G111" s="77"/>
      <c r="H111" s="77"/>
      <c r="I111" s="77">
        <v>90000</v>
      </c>
      <c r="J111" s="77"/>
      <c r="K111" s="77"/>
      <c r="L111" s="77"/>
      <c r="M111" s="77"/>
      <c r="N111" s="77"/>
      <c r="O111" s="77"/>
      <c r="P111" s="71"/>
      <c r="Q111" s="71"/>
      <c r="R111" s="71"/>
    </row>
    <row r="112" spans="1:18" ht="13.5" customHeight="1">
      <c r="A112" s="91" t="s">
        <v>333</v>
      </c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1"/>
      <c r="Q112" s="71"/>
      <c r="R112" s="71">
        <f>SUM(C112:P112)</f>
        <v>0</v>
      </c>
    </row>
    <row r="113" spans="1:18" ht="13.5" customHeight="1">
      <c r="A113" s="91" t="s">
        <v>36</v>
      </c>
      <c r="B113" s="62"/>
      <c r="C113" s="62">
        <f>SUM(C109:C112)</f>
        <v>0</v>
      </c>
      <c r="D113" s="62">
        <v>0</v>
      </c>
      <c r="E113" s="62">
        <v>0</v>
      </c>
      <c r="F113" s="62">
        <v>0</v>
      </c>
      <c r="G113" s="62">
        <v>0</v>
      </c>
      <c r="H113" s="62">
        <f>SUM(H110)</f>
        <v>271440</v>
      </c>
      <c r="I113" s="62">
        <f>SUM(I111)</f>
        <v>90000</v>
      </c>
      <c r="J113" s="62">
        <v>0</v>
      </c>
      <c r="K113" s="62">
        <v>0</v>
      </c>
      <c r="L113" s="62">
        <v>0</v>
      </c>
      <c r="M113" s="62">
        <f>SUM(M108:M112)</f>
        <v>0</v>
      </c>
      <c r="N113" s="62">
        <f>SUM(N110:N112)</f>
        <v>0</v>
      </c>
      <c r="O113" s="62">
        <f>SUM(O110:O112)</f>
        <v>0</v>
      </c>
      <c r="P113" s="62">
        <f>SUM(P108:P112)</f>
        <v>0</v>
      </c>
      <c r="Q113" s="62"/>
      <c r="R113" s="62">
        <f>SUM(C113:P113)</f>
        <v>361440</v>
      </c>
    </row>
    <row r="114" spans="1:18" ht="13.5" customHeight="1" thickBot="1">
      <c r="A114" s="92" t="s">
        <v>37</v>
      </c>
      <c r="B114" s="94"/>
      <c r="C114" s="94">
        <f>61000</f>
        <v>61000</v>
      </c>
      <c r="D114" s="94">
        <v>0</v>
      </c>
      <c r="E114" s="94">
        <v>0</v>
      </c>
      <c r="F114" s="94">
        <v>0</v>
      </c>
      <c r="G114" s="94">
        <v>0</v>
      </c>
      <c r="H114" s="94">
        <f>601600+411640+673920+271440</f>
        <v>1958600</v>
      </c>
      <c r="I114" s="94">
        <f>90000</f>
        <v>90000</v>
      </c>
      <c r="J114" s="94">
        <v>0</v>
      </c>
      <c r="K114" s="94">
        <v>0</v>
      </c>
      <c r="L114" s="94">
        <v>0</v>
      </c>
      <c r="M114" s="94">
        <v>0</v>
      </c>
      <c r="N114" s="94">
        <f>SUM(N112:N113)</f>
        <v>0</v>
      </c>
      <c r="O114" s="94">
        <v>0</v>
      </c>
      <c r="P114" s="94">
        <v>0</v>
      </c>
      <c r="Q114" s="94"/>
      <c r="R114" s="94">
        <f>SUM(C114:P114)</f>
        <v>2109600</v>
      </c>
    </row>
    <row r="115" spans="1:18" ht="13.5" customHeight="1" thickTop="1">
      <c r="A115" s="95" t="s">
        <v>334</v>
      </c>
      <c r="B115" s="78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4"/>
      <c r="P115" s="83"/>
      <c r="Q115" s="83"/>
      <c r="R115" s="84"/>
    </row>
    <row r="116" spans="1:18" ht="13.5" customHeight="1">
      <c r="A116" s="95" t="s">
        <v>335</v>
      </c>
      <c r="B116" s="79"/>
      <c r="C116" s="78"/>
      <c r="D116" s="78">
        <v>0</v>
      </c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68"/>
      <c r="P116" s="78"/>
      <c r="Q116" s="78"/>
      <c r="R116" s="68">
        <f>SUM(B116:P116)</f>
        <v>0</v>
      </c>
    </row>
    <row r="117" spans="1:18" ht="13.5" customHeight="1">
      <c r="A117" s="91" t="s">
        <v>36</v>
      </c>
      <c r="B117" s="62">
        <v>0</v>
      </c>
      <c r="C117" s="62">
        <v>0</v>
      </c>
      <c r="D117" s="62">
        <f>SUM(D116)</f>
        <v>0</v>
      </c>
      <c r="E117" s="62">
        <v>0</v>
      </c>
      <c r="F117" s="62">
        <v>0</v>
      </c>
      <c r="G117" s="62">
        <v>0</v>
      </c>
      <c r="H117" s="62">
        <v>0</v>
      </c>
      <c r="I117" s="62">
        <v>0</v>
      </c>
      <c r="J117" s="62">
        <v>0</v>
      </c>
      <c r="K117" s="62">
        <v>0</v>
      </c>
      <c r="L117" s="62">
        <v>0</v>
      </c>
      <c r="M117" s="62">
        <v>0</v>
      </c>
      <c r="N117" s="62">
        <v>0</v>
      </c>
      <c r="O117" s="62">
        <v>0</v>
      </c>
      <c r="P117" s="62">
        <v>0</v>
      </c>
      <c r="Q117" s="62"/>
      <c r="R117" s="62">
        <f>SUM(B117:P117)</f>
        <v>0</v>
      </c>
    </row>
    <row r="118" spans="1:18" ht="13.5" customHeight="1" thickBot="1">
      <c r="A118" s="92" t="s">
        <v>37</v>
      </c>
      <c r="B118" s="94">
        <v>0</v>
      </c>
      <c r="C118" s="94">
        <v>0</v>
      </c>
      <c r="D118" s="94">
        <v>0</v>
      </c>
      <c r="E118" s="94">
        <v>0</v>
      </c>
      <c r="F118" s="94">
        <v>0</v>
      </c>
      <c r="G118" s="94">
        <v>0</v>
      </c>
      <c r="H118" s="94">
        <v>0</v>
      </c>
      <c r="I118" s="94">
        <v>0</v>
      </c>
      <c r="J118" s="94">
        <v>0</v>
      </c>
      <c r="K118" s="94">
        <v>0</v>
      </c>
      <c r="L118" s="94">
        <v>0</v>
      </c>
      <c r="M118" s="94">
        <v>0</v>
      </c>
      <c r="N118" s="94">
        <v>0</v>
      </c>
      <c r="O118" s="94">
        <v>0</v>
      </c>
      <c r="P118" s="94">
        <v>0</v>
      </c>
      <c r="Q118" s="94"/>
      <c r="R118" s="94">
        <f>SUM(B118:P118)</f>
        <v>0</v>
      </c>
    </row>
    <row r="119" spans="1:18" ht="13.5" customHeight="1" thickTop="1">
      <c r="A119" s="91" t="s">
        <v>36</v>
      </c>
      <c r="B119" s="73">
        <f>SUM(B13)</f>
        <v>33804</v>
      </c>
      <c r="C119" s="62">
        <f>SUM(C22+C28+C33+C46+C54+C61+C76+C89+C100+C106++C113)</f>
        <v>557082.73</v>
      </c>
      <c r="D119" s="152">
        <f>SUM(D118)</f>
        <v>0</v>
      </c>
      <c r="E119" s="152">
        <f>SUM(E22+E28+E33+E46+E54+E61+E76+E89+E100+E106+E113)</f>
        <v>187594</v>
      </c>
      <c r="F119" s="152">
        <f>SUM(F61)</f>
        <v>0</v>
      </c>
      <c r="G119" s="152">
        <f>SUM(G28+G46+G54+G61+G76+G89+G100+G106+G113)</f>
        <v>87238.3</v>
      </c>
      <c r="H119" s="152">
        <f>SUM(H46+H61+H113+H76)</f>
        <v>406934.95999999996</v>
      </c>
      <c r="I119" s="152">
        <f>SUM(I46+I54+I61+I76+I89+I100+I106+I113)</f>
        <v>117370</v>
      </c>
      <c r="J119" s="152">
        <f>SUM(J46+J54+J61+J76+J89+J100+J106+J113)</f>
        <v>6375</v>
      </c>
      <c r="K119" s="152">
        <v>0</v>
      </c>
      <c r="L119" s="152">
        <f>SUM(L28+L33+L46+L54+L61+L76+L89+L100+L106+L113)</f>
        <v>104650</v>
      </c>
      <c r="M119" s="152">
        <v>0</v>
      </c>
      <c r="N119" s="152">
        <f>SUM(N61)</f>
        <v>0</v>
      </c>
      <c r="O119" s="152">
        <f>SUM(O13+O22+O28+O33+O46+O54+O61+O76+O89+O100+O106+O113)</f>
        <v>0</v>
      </c>
      <c r="P119" s="152">
        <v>0</v>
      </c>
      <c r="Q119" s="152">
        <f>SUM(Q106)</f>
        <v>96250</v>
      </c>
      <c r="R119" s="73">
        <f>SUM(B119:Q119)</f>
        <v>1597298.99</v>
      </c>
    </row>
    <row r="120" spans="1:18" ht="13.5" customHeight="1" thickBot="1">
      <c r="A120" s="92" t="s">
        <v>37</v>
      </c>
      <c r="B120" s="74">
        <f>319754+29919+6643+8874+17686+89804+33804</f>
        <v>506484</v>
      </c>
      <c r="C120" s="94">
        <f>2210710.3+523329+854001.55+570418.03+788776.11+580339.74+557082.73</f>
        <v>6084657.460000001</v>
      </c>
      <c r="D120" s="94">
        <v>0</v>
      </c>
      <c r="E120" s="94">
        <f>692181+135495+130015+178609+144085+120934+187594</f>
        <v>1588913</v>
      </c>
      <c r="F120" s="94">
        <f>19300+18700</f>
        <v>38000</v>
      </c>
      <c r="G120" s="94">
        <f>278974.28+91543+47883.51+69054.74+55694.06+61651.74+87238.3</f>
        <v>692039.6300000001</v>
      </c>
      <c r="H120" s="94">
        <f>817695.6+464704+112004.4+324701.52+732717.6+406934.96</f>
        <v>2858758.08</v>
      </c>
      <c r="I120" s="94">
        <f>36000+9000+9000+9000+9000+9000+117370</f>
        <v>198370</v>
      </c>
      <c r="J120" s="94">
        <f>70000+278100+63000+6375</f>
        <v>417475</v>
      </c>
      <c r="K120" s="94">
        <v>0</v>
      </c>
      <c r="L120" s="94">
        <f>308070+79570+67770+80370+77435+50090+104650</f>
        <v>767955</v>
      </c>
      <c r="M120" s="94">
        <v>0</v>
      </c>
      <c r="N120" s="94">
        <f>38000+62000</f>
        <v>100000</v>
      </c>
      <c r="O120" s="94">
        <f>152694</f>
        <v>152694</v>
      </c>
      <c r="P120" s="94">
        <v>0</v>
      </c>
      <c r="Q120" s="94">
        <f>99120+96250</f>
        <v>195370</v>
      </c>
      <c r="R120" s="74">
        <f>SUM(B120:Q120)</f>
        <v>13600716.170000002</v>
      </c>
    </row>
    <row r="121" ht="15" thickTop="1"/>
  </sheetData>
  <sheetProtection/>
  <mergeCells count="27">
    <mergeCell ref="A1:R1"/>
    <mergeCell ref="A2:R2"/>
    <mergeCell ref="A3:R3"/>
    <mergeCell ref="B5:B6"/>
    <mergeCell ref="C5:E5"/>
    <mergeCell ref="G5:H5"/>
    <mergeCell ref="I5:J5"/>
    <mergeCell ref="L5:M5"/>
    <mergeCell ref="N5:O5"/>
    <mergeCell ref="P5:Q5"/>
    <mergeCell ref="R5:R6"/>
    <mergeCell ref="B41:B42"/>
    <mergeCell ref="C41:E41"/>
    <mergeCell ref="G41:H41"/>
    <mergeCell ref="I41:J41"/>
    <mergeCell ref="L41:M41"/>
    <mergeCell ref="N41:O41"/>
    <mergeCell ref="P41:Q41"/>
    <mergeCell ref="R41:R42"/>
    <mergeCell ref="P81:Q81"/>
    <mergeCell ref="R81:R82"/>
    <mergeCell ref="B81:B82"/>
    <mergeCell ref="C81:E81"/>
    <mergeCell ref="G81:H81"/>
    <mergeCell ref="I81:J81"/>
    <mergeCell ref="L81:M81"/>
    <mergeCell ref="N81:O81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8" sqref="J18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view="pageBreakPreview" zoomScaleSheetLayoutView="100" zoomScalePageLayoutView="0" workbookViewId="0" topLeftCell="A1">
      <selection activeCell="F10" sqref="F10"/>
    </sheetView>
  </sheetViews>
  <sheetFormatPr defaultColWidth="9.140625" defaultRowHeight="12.75"/>
  <cols>
    <col min="1" max="1" width="6.421875" style="23" customWidth="1"/>
    <col min="2" max="2" width="11.140625" style="23" customWidth="1"/>
    <col min="3" max="3" width="11.57421875" style="182" customWidth="1"/>
    <col min="4" max="4" width="45.8515625" style="23" customWidth="1"/>
    <col min="5" max="5" width="15.8515625" style="183" customWidth="1"/>
    <col min="6" max="16384" width="9.140625" style="23" customWidth="1"/>
  </cols>
  <sheetData>
    <row r="1" spans="1:5" ht="21">
      <c r="A1" s="304" t="s">
        <v>560</v>
      </c>
      <c r="B1" s="304"/>
      <c r="C1" s="304"/>
      <c r="D1" s="304"/>
      <c r="E1" s="304"/>
    </row>
    <row r="2" spans="1:5" ht="21">
      <c r="A2" s="304" t="s">
        <v>258</v>
      </c>
      <c r="B2" s="304"/>
      <c r="C2" s="304"/>
      <c r="D2" s="304"/>
      <c r="E2" s="304"/>
    </row>
    <row r="3" spans="1:8" ht="21">
      <c r="A3" s="175" t="s">
        <v>139</v>
      </c>
      <c r="B3" s="175" t="s">
        <v>140</v>
      </c>
      <c r="C3" s="176" t="s">
        <v>141</v>
      </c>
      <c r="D3" s="175" t="s">
        <v>142</v>
      </c>
      <c r="E3" s="177" t="s">
        <v>143</v>
      </c>
      <c r="H3" s="23" t="s">
        <v>446</v>
      </c>
    </row>
    <row r="4" spans="1:5" ht="21">
      <c r="A4" s="178">
        <v>1</v>
      </c>
      <c r="B4" s="211">
        <v>21199</v>
      </c>
      <c r="C4" s="179" t="s">
        <v>464</v>
      </c>
      <c r="D4" s="178" t="s">
        <v>465</v>
      </c>
      <c r="E4" s="180">
        <v>50000</v>
      </c>
    </row>
    <row r="5" spans="1:5" ht="21">
      <c r="A5" s="178">
        <v>2</v>
      </c>
      <c r="B5" s="211">
        <v>21204</v>
      </c>
      <c r="C5" s="179" t="s">
        <v>466</v>
      </c>
      <c r="D5" s="178" t="s">
        <v>467</v>
      </c>
      <c r="E5" s="180">
        <v>50000</v>
      </c>
    </row>
    <row r="6" spans="1:5" ht="21">
      <c r="A6" s="178">
        <v>3</v>
      </c>
      <c r="B6" s="211">
        <v>21085</v>
      </c>
      <c r="C6" s="179" t="s">
        <v>377</v>
      </c>
      <c r="D6" s="178" t="s">
        <v>225</v>
      </c>
      <c r="E6" s="180">
        <v>44000</v>
      </c>
    </row>
    <row r="7" spans="1:5" ht="21">
      <c r="A7" s="178">
        <v>4</v>
      </c>
      <c r="B7" s="211">
        <v>21152</v>
      </c>
      <c r="C7" s="179" t="s">
        <v>451</v>
      </c>
      <c r="D7" s="178" t="s">
        <v>226</v>
      </c>
      <c r="E7" s="180">
        <v>40000</v>
      </c>
    </row>
    <row r="8" spans="1:5" ht="21">
      <c r="A8" s="178">
        <v>5</v>
      </c>
      <c r="B8" s="211">
        <v>240497</v>
      </c>
      <c r="C8" s="179" t="s">
        <v>544</v>
      </c>
      <c r="D8" s="178" t="s">
        <v>227</v>
      </c>
      <c r="E8" s="180">
        <v>16000</v>
      </c>
    </row>
    <row r="9" spans="1:5" ht="21">
      <c r="A9" s="178">
        <v>6</v>
      </c>
      <c r="B9" s="211">
        <v>21183</v>
      </c>
      <c r="C9" s="179" t="s">
        <v>460</v>
      </c>
      <c r="D9" s="178" t="s">
        <v>228</v>
      </c>
      <c r="E9" s="180">
        <v>76000</v>
      </c>
    </row>
    <row r="10" spans="1:5" ht="21">
      <c r="A10" s="178">
        <v>7</v>
      </c>
      <c r="B10" s="211">
        <v>21101</v>
      </c>
      <c r="C10" s="179" t="s">
        <v>388</v>
      </c>
      <c r="D10" s="178" t="s">
        <v>389</v>
      </c>
      <c r="E10" s="180">
        <v>24000</v>
      </c>
    </row>
    <row r="11" spans="1:5" ht="21">
      <c r="A11" s="178">
        <v>8</v>
      </c>
      <c r="B11" s="211">
        <v>21075</v>
      </c>
      <c r="C11" s="179" t="s">
        <v>378</v>
      </c>
      <c r="D11" s="178" t="s">
        <v>229</v>
      </c>
      <c r="E11" s="180">
        <v>40000</v>
      </c>
    </row>
    <row r="12" spans="1:5" ht="21">
      <c r="A12" s="178">
        <v>9</v>
      </c>
      <c r="B12" s="211">
        <v>240493</v>
      </c>
      <c r="C12" s="179" t="s">
        <v>543</v>
      </c>
      <c r="D12" s="178" t="s">
        <v>230</v>
      </c>
      <c r="E12" s="180">
        <v>30000</v>
      </c>
    </row>
    <row r="13" spans="1:5" ht="21">
      <c r="A13" s="178">
        <v>10</v>
      </c>
      <c r="B13" s="211">
        <v>21096</v>
      </c>
      <c r="C13" s="179" t="s">
        <v>386</v>
      </c>
      <c r="D13" s="178" t="s">
        <v>387</v>
      </c>
      <c r="E13" s="180">
        <v>30000</v>
      </c>
    </row>
    <row r="14" spans="1:5" ht="21">
      <c r="A14" s="178">
        <v>11</v>
      </c>
      <c r="B14" s="211">
        <v>21144</v>
      </c>
      <c r="C14" s="179" t="s">
        <v>450</v>
      </c>
      <c r="D14" s="178" t="s">
        <v>231</v>
      </c>
      <c r="E14" s="180">
        <v>100000</v>
      </c>
    </row>
    <row r="15" spans="1:5" ht="21">
      <c r="A15" s="178">
        <v>12</v>
      </c>
      <c r="B15" s="211">
        <v>20871</v>
      </c>
      <c r="C15" s="179" t="s">
        <v>379</v>
      </c>
      <c r="D15" s="178" t="s">
        <v>232</v>
      </c>
      <c r="E15" s="180">
        <v>40000</v>
      </c>
    </row>
    <row r="16" spans="1:5" ht="21">
      <c r="A16" s="178">
        <v>13</v>
      </c>
      <c r="B16" s="211">
        <v>240147</v>
      </c>
      <c r="C16" s="179" t="s">
        <v>380</v>
      </c>
      <c r="D16" s="178" t="s">
        <v>233</v>
      </c>
      <c r="E16" s="180">
        <v>39000</v>
      </c>
    </row>
    <row r="17" spans="1:5" ht="21">
      <c r="A17" s="178">
        <v>14</v>
      </c>
      <c r="B17" s="211">
        <v>21143</v>
      </c>
      <c r="C17" s="179" t="s">
        <v>449</v>
      </c>
      <c r="D17" s="178" t="s">
        <v>381</v>
      </c>
      <c r="E17" s="180">
        <v>100000</v>
      </c>
    </row>
    <row r="18" spans="1:5" ht="21">
      <c r="A18" s="178">
        <v>15</v>
      </c>
      <c r="B18" s="211">
        <v>21047</v>
      </c>
      <c r="C18" s="179" t="s">
        <v>380</v>
      </c>
      <c r="D18" s="178" t="s">
        <v>261</v>
      </c>
      <c r="E18" s="180">
        <v>47000</v>
      </c>
    </row>
    <row r="19" spans="1:5" ht="21">
      <c r="A19" s="178">
        <v>16</v>
      </c>
      <c r="B19" s="211">
        <v>21066</v>
      </c>
      <c r="C19" s="179" t="s">
        <v>382</v>
      </c>
      <c r="D19" s="178" t="s">
        <v>383</v>
      </c>
      <c r="E19" s="180">
        <v>40000</v>
      </c>
    </row>
    <row r="20" spans="1:5" ht="21">
      <c r="A20" s="178">
        <v>17</v>
      </c>
      <c r="B20" s="211">
        <v>21206</v>
      </c>
      <c r="C20" s="179" t="s">
        <v>469</v>
      </c>
      <c r="D20" s="178" t="s">
        <v>470</v>
      </c>
      <c r="E20" s="180">
        <v>13000</v>
      </c>
    </row>
    <row r="21" spans="1:5" ht="21">
      <c r="A21" s="178">
        <v>18</v>
      </c>
      <c r="B21" s="211">
        <v>237770</v>
      </c>
      <c r="C21" s="179" t="s">
        <v>235</v>
      </c>
      <c r="D21" s="178" t="s">
        <v>236</v>
      </c>
      <c r="E21" s="180">
        <v>13780</v>
      </c>
    </row>
    <row r="22" spans="1:5" ht="21">
      <c r="A22" s="178">
        <v>19</v>
      </c>
      <c r="B22" s="211">
        <v>237770</v>
      </c>
      <c r="C22" s="179" t="s">
        <v>177</v>
      </c>
      <c r="D22" s="178" t="s">
        <v>237</v>
      </c>
      <c r="E22" s="180">
        <v>8780</v>
      </c>
    </row>
    <row r="23" spans="1:5" ht="21">
      <c r="A23" s="178">
        <v>20</v>
      </c>
      <c r="B23" s="211">
        <v>21225</v>
      </c>
      <c r="C23" s="179" t="s">
        <v>476</v>
      </c>
      <c r="D23" s="178" t="s">
        <v>477</v>
      </c>
      <c r="E23" s="180">
        <v>60000</v>
      </c>
    </row>
    <row r="24" spans="1:5" ht="21">
      <c r="A24" s="178">
        <v>20</v>
      </c>
      <c r="B24" s="211">
        <v>21183</v>
      </c>
      <c r="C24" s="179" t="s">
        <v>459</v>
      </c>
      <c r="D24" s="178" t="s">
        <v>458</v>
      </c>
      <c r="E24" s="180">
        <v>20000</v>
      </c>
    </row>
    <row r="25" spans="1:5" ht="21">
      <c r="A25" s="178">
        <v>21</v>
      </c>
      <c r="B25" s="211">
        <v>21115</v>
      </c>
      <c r="C25" s="179" t="s">
        <v>390</v>
      </c>
      <c r="D25" s="178" t="s">
        <v>391</v>
      </c>
      <c r="E25" s="180">
        <v>24000</v>
      </c>
    </row>
    <row r="26" spans="1:5" ht="21">
      <c r="A26" s="178">
        <v>22</v>
      </c>
      <c r="B26" s="211">
        <v>21129</v>
      </c>
      <c r="C26" s="179" t="s">
        <v>447</v>
      </c>
      <c r="D26" s="178" t="s">
        <v>448</v>
      </c>
      <c r="E26" s="180">
        <v>26000</v>
      </c>
    </row>
    <row r="27" spans="1:12" ht="21">
      <c r="A27" s="178">
        <v>23</v>
      </c>
      <c r="B27" s="211">
        <v>21201</v>
      </c>
      <c r="C27" s="179" t="s">
        <v>468</v>
      </c>
      <c r="D27" s="178" t="s">
        <v>234</v>
      </c>
      <c r="E27" s="180">
        <v>70000</v>
      </c>
      <c r="L27" s="23" t="s">
        <v>264</v>
      </c>
    </row>
    <row r="28" spans="1:5" ht="21">
      <c r="A28" s="178">
        <v>24</v>
      </c>
      <c r="B28" s="211">
        <v>21054</v>
      </c>
      <c r="C28" s="179" t="s">
        <v>385</v>
      </c>
      <c r="D28" s="178" t="s">
        <v>262</v>
      </c>
      <c r="E28" s="180">
        <v>30000</v>
      </c>
    </row>
    <row r="29" spans="1:5" ht="21">
      <c r="A29" s="303" t="s">
        <v>19</v>
      </c>
      <c r="B29" s="303"/>
      <c r="C29" s="303"/>
      <c r="D29" s="303"/>
      <c r="E29" s="181">
        <f>SUM(E4:E28)</f>
        <v>1031560</v>
      </c>
    </row>
    <row r="30" ht="21">
      <c r="E30" s="183" t="s">
        <v>264</v>
      </c>
    </row>
    <row r="32" spans="1:6" ht="21">
      <c r="A32" s="305" t="s">
        <v>263</v>
      </c>
      <c r="B32" s="305"/>
      <c r="C32" s="305"/>
      <c r="D32" s="305"/>
      <c r="E32" s="305"/>
      <c r="F32" s="184"/>
    </row>
    <row r="33" spans="1:6" ht="21">
      <c r="A33" s="302" t="s">
        <v>223</v>
      </c>
      <c r="B33" s="302"/>
      <c r="C33" s="302"/>
      <c r="D33" s="302"/>
      <c r="E33" s="302"/>
      <c r="F33" s="302"/>
    </row>
    <row r="34" spans="1:6" ht="21">
      <c r="A34" s="302" t="s">
        <v>224</v>
      </c>
      <c r="B34" s="302"/>
      <c r="C34" s="302"/>
      <c r="D34" s="302"/>
      <c r="E34" s="302"/>
      <c r="F34" s="302"/>
    </row>
    <row r="36" ht="21">
      <c r="I36" s="23" t="s">
        <v>463</v>
      </c>
    </row>
    <row r="49" ht="21">
      <c r="E49" s="183">
        <v>0</v>
      </c>
    </row>
  </sheetData>
  <sheetProtection/>
  <mergeCells count="6">
    <mergeCell ref="A33:F33"/>
    <mergeCell ref="A34:F34"/>
    <mergeCell ref="A29:D29"/>
    <mergeCell ref="A1:E1"/>
    <mergeCell ref="A2:E2"/>
    <mergeCell ref="A32:E32"/>
  </mergeCells>
  <printOptions/>
  <pageMargins left="0.6692913385826772" right="0.3937007874015748" top="0.984251968503937" bottom="0.98425196850393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9.140625" style="128" customWidth="1"/>
    <col min="2" max="2" width="35.00390625" style="128" customWidth="1"/>
    <col min="3" max="3" width="17.421875" style="128" customWidth="1"/>
    <col min="4" max="4" width="12.421875" style="128" customWidth="1"/>
    <col min="5" max="16384" width="9.140625" style="128" customWidth="1"/>
  </cols>
  <sheetData>
    <row r="1" spans="1:5" ht="23.25">
      <c r="A1" s="306" t="s">
        <v>561</v>
      </c>
      <c r="B1" s="306"/>
      <c r="C1" s="306"/>
      <c r="D1" s="306"/>
      <c r="E1" s="35"/>
    </row>
    <row r="2" spans="1:5" ht="23.25">
      <c r="A2" s="306" t="s">
        <v>256</v>
      </c>
      <c r="B2" s="306"/>
      <c r="C2" s="306"/>
      <c r="D2" s="306"/>
      <c r="E2" s="35"/>
    </row>
    <row r="3" spans="1:4" ht="23.25">
      <c r="A3" s="306" t="s">
        <v>238</v>
      </c>
      <c r="B3" s="306"/>
      <c r="C3" s="306"/>
      <c r="D3" s="306"/>
    </row>
    <row r="5" spans="1:4" ht="23.25">
      <c r="A5" s="129" t="s">
        <v>139</v>
      </c>
      <c r="B5" s="129" t="s">
        <v>24</v>
      </c>
      <c r="C5" s="129" t="s">
        <v>70</v>
      </c>
      <c r="D5" s="129" t="s">
        <v>239</v>
      </c>
    </row>
    <row r="6" spans="1:4" ht="23.25">
      <c r="A6" s="141">
        <v>1</v>
      </c>
      <c r="B6" s="142" t="s">
        <v>240</v>
      </c>
      <c r="C6" s="143">
        <v>100000</v>
      </c>
      <c r="D6" s="142"/>
    </row>
    <row r="7" spans="1:4" ht="23.25">
      <c r="A7" s="144">
        <v>2</v>
      </c>
      <c r="B7" s="145" t="s">
        <v>241</v>
      </c>
      <c r="C7" s="146">
        <v>100000</v>
      </c>
      <c r="D7" s="145"/>
    </row>
    <row r="8" spans="1:4" ht="23.25">
      <c r="A8" s="144">
        <v>3</v>
      </c>
      <c r="B8" s="145" t="s">
        <v>242</v>
      </c>
      <c r="C8" s="146">
        <v>100000</v>
      </c>
      <c r="D8" s="145"/>
    </row>
    <row r="9" spans="1:4" ht="23.25">
      <c r="A9" s="144">
        <v>4</v>
      </c>
      <c r="B9" s="145" t="s">
        <v>243</v>
      </c>
      <c r="C9" s="146">
        <v>100000</v>
      </c>
      <c r="D9" s="145"/>
    </row>
    <row r="10" spans="1:4" ht="23.25">
      <c r="A10" s="144">
        <v>5</v>
      </c>
      <c r="B10" s="145" t="s">
        <v>244</v>
      </c>
      <c r="C10" s="146">
        <v>100000</v>
      </c>
      <c r="D10" s="145"/>
    </row>
    <row r="11" spans="1:4" ht="23.25">
      <c r="A11" s="144">
        <v>6</v>
      </c>
      <c r="B11" s="145" t="s">
        <v>245</v>
      </c>
      <c r="C11" s="146">
        <v>100000</v>
      </c>
      <c r="D11" s="145"/>
    </row>
    <row r="12" spans="1:4" ht="23.25">
      <c r="A12" s="144">
        <v>7</v>
      </c>
      <c r="B12" s="145" t="s">
        <v>246</v>
      </c>
      <c r="C12" s="146">
        <v>100000</v>
      </c>
      <c r="D12" s="145"/>
    </row>
    <row r="13" spans="1:4" ht="23.25">
      <c r="A13" s="144">
        <v>8</v>
      </c>
      <c r="B13" s="145" t="s">
        <v>247</v>
      </c>
      <c r="C13" s="146">
        <v>100000</v>
      </c>
      <c r="D13" s="145"/>
    </row>
    <row r="14" spans="1:4" ht="23.25">
      <c r="A14" s="144">
        <v>9</v>
      </c>
      <c r="B14" s="145" t="s">
        <v>248</v>
      </c>
      <c r="C14" s="146">
        <v>100000</v>
      </c>
      <c r="D14" s="145"/>
    </row>
    <row r="15" spans="1:4" ht="23.25">
      <c r="A15" s="144">
        <v>10</v>
      </c>
      <c r="B15" s="145" t="s">
        <v>249</v>
      </c>
      <c r="C15" s="146">
        <v>100000</v>
      </c>
      <c r="D15" s="145"/>
    </row>
    <row r="16" spans="1:4" ht="23.25">
      <c r="A16" s="147">
        <v>11</v>
      </c>
      <c r="B16" s="148" t="s">
        <v>250</v>
      </c>
      <c r="C16" s="149">
        <v>100000</v>
      </c>
      <c r="D16" s="148"/>
    </row>
    <row r="17" spans="3:4" ht="24" thickBot="1">
      <c r="C17" s="150">
        <f>SUM(C6:C16)</f>
        <v>1100000</v>
      </c>
      <c r="D17" s="151"/>
    </row>
    <row r="18" ht="24" thickTop="1"/>
    <row r="20" spans="1:4" ht="23.25">
      <c r="A20" s="128" t="s">
        <v>251</v>
      </c>
      <c r="D20" s="128" t="s">
        <v>252</v>
      </c>
    </row>
    <row r="21" spans="1:3" ht="23.25">
      <c r="A21" s="128" t="s">
        <v>253</v>
      </c>
      <c r="C21" s="128" t="s">
        <v>257</v>
      </c>
    </row>
    <row r="22" spans="1:3" ht="23.25">
      <c r="A22" s="128" t="s">
        <v>254</v>
      </c>
      <c r="C22" s="128" t="s">
        <v>255</v>
      </c>
    </row>
  </sheetData>
  <sheetProtection/>
  <mergeCells count="3">
    <mergeCell ref="A3:D3"/>
    <mergeCell ref="A1:D1"/>
    <mergeCell ref="A2:D2"/>
  </mergeCells>
  <printOptions/>
  <pageMargins left="1" right="1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3"/>
  <sheetViews>
    <sheetView view="pageBreakPreview" zoomScaleSheetLayoutView="100" zoomScalePageLayoutView="0" workbookViewId="0" topLeftCell="A1">
      <selection activeCell="I7" sqref="I7"/>
    </sheetView>
  </sheetViews>
  <sheetFormatPr defaultColWidth="9.140625" defaultRowHeight="12.75"/>
  <cols>
    <col min="1" max="1" width="6.421875" style="128" customWidth="1"/>
    <col min="2" max="2" width="11.140625" style="128" customWidth="1"/>
    <col min="3" max="3" width="11.57421875" style="138" customWidth="1"/>
    <col min="4" max="4" width="43.00390625" style="128" customWidth="1"/>
    <col min="5" max="5" width="14.00390625" style="127" customWidth="1"/>
    <col min="6" max="6" width="10.28125" style="127" bestFit="1" customWidth="1"/>
    <col min="7" max="16384" width="9.140625" style="128" customWidth="1"/>
  </cols>
  <sheetData>
    <row r="1" spans="1:6" ht="23.25">
      <c r="A1" s="306" t="s">
        <v>561</v>
      </c>
      <c r="B1" s="306"/>
      <c r="C1" s="306"/>
      <c r="D1" s="306"/>
      <c r="E1" s="306"/>
      <c r="F1" s="306"/>
    </row>
    <row r="2" spans="1:6" ht="23.25">
      <c r="A2" s="306" t="s">
        <v>372</v>
      </c>
      <c r="B2" s="306"/>
      <c r="C2" s="306"/>
      <c r="D2" s="306"/>
      <c r="E2" s="306"/>
      <c r="F2" s="306"/>
    </row>
    <row r="3" spans="1:6" ht="23.25">
      <c r="A3" s="308" t="s">
        <v>259</v>
      </c>
      <c r="B3" s="308"/>
      <c r="C3" s="308"/>
      <c r="D3" s="308"/>
      <c r="E3" s="308"/>
      <c r="F3" s="308"/>
    </row>
    <row r="4" spans="1:6" ht="23.25">
      <c r="A4" s="129" t="s">
        <v>139</v>
      </c>
      <c r="B4" s="129" t="s">
        <v>140</v>
      </c>
      <c r="C4" s="130" t="s">
        <v>141</v>
      </c>
      <c r="D4" s="129" t="s">
        <v>142</v>
      </c>
      <c r="E4" s="131" t="s">
        <v>143</v>
      </c>
      <c r="F4" s="131" t="s">
        <v>144</v>
      </c>
    </row>
    <row r="5" spans="1:6" ht="23.25">
      <c r="A5" s="132">
        <v>1</v>
      </c>
      <c r="B5" s="133">
        <v>16233</v>
      </c>
      <c r="C5" s="134" t="s">
        <v>145</v>
      </c>
      <c r="D5" s="132" t="s">
        <v>478</v>
      </c>
      <c r="E5" s="135">
        <v>47300</v>
      </c>
      <c r="F5" s="135">
        <v>238</v>
      </c>
    </row>
    <row r="6" spans="1:6" ht="23.25">
      <c r="A6" s="132">
        <v>2</v>
      </c>
      <c r="B6" s="133">
        <v>16233</v>
      </c>
      <c r="C6" s="134" t="s">
        <v>146</v>
      </c>
      <c r="D6" s="132" t="s">
        <v>147</v>
      </c>
      <c r="E6" s="135">
        <v>100000</v>
      </c>
      <c r="F6" s="135">
        <v>250</v>
      </c>
    </row>
    <row r="7" spans="1:6" ht="23.25">
      <c r="A7" s="132">
        <v>3</v>
      </c>
      <c r="B7" s="133">
        <v>17025</v>
      </c>
      <c r="C7" s="134" t="s">
        <v>148</v>
      </c>
      <c r="D7" s="132" t="s">
        <v>149</v>
      </c>
      <c r="E7" s="135">
        <v>40000</v>
      </c>
      <c r="F7" s="135">
        <v>338</v>
      </c>
    </row>
    <row r="8" spans="1:6" ht="23.25">
      <c r="A8" s="132">
        <v>4</v>
      </c>
      <c r="B8" s="133">
        <v>17025</v>
      </c>
      <c r="C8" s="134" t="s">
        <v>150</v>
      </c>
      <c r="D8" s="132" t="s">
        <v>151</v>
      </c>
      <c r="E8" s="135">
        <v>40000</v>
      </c>
      <c r="F8" s="135">
        <v>163</v>
      </c>
    </row>
    <row r="9" spans="1:6" ht="23.25">
      <c r="A9" s="132">
        <v>5</v>
      </c>
      <c r="B9" s="133">
        <v>17165</v>
      </c>
      <c r="C9" s="134" t="s">
        <v>152</v>
      </c>
      <c r="D9" s="132" t="s">
        <v>153</v>
      </c>
      <c r="E9" s="135">
        <v>60000</v>
      </c>
      <c r="F9" s="135">
        <v>5250</v>
      </c>
    </row>
    <row r="10" spans="1:6" ht="23.25">
      <c r="A10" s="132">
        <v>6</v>
      </c>
      <c r="B10" s="133">
        <v>17430</v>
      </c>
      <c r="C10" s="134" t="s">
        <v>154</v>
      </c>
      <c r="D10" s="132" t="s">
        <v>155</v>
      </c>
      <c r="E10" s="135">
        <v>30000</v>
      </c>
      <c r="F10" s="135">
        <v>375</v>
      </c>
    </row>
    <row r="11" spans="1:6" ht="23.25">
      <c r="A11" s="132">
        <v>7</v>
      </c>
      <c r="B11" s="133">
        <v>17430</v>
      </c>
      <c r="C11" s="134" t="s">
        <v>156</v>
      </c>
      <c r="D11" s="132" t="s">
        <v>157</v>
      </c>
      <c r="E11" s="135">
        <v>30000</v>
      </c>
      <c r="F11" s="135">
        <v>188</v>
      </c>
    </row>
    <row r="12" spans="1:6" ht="23.25">
      <c r="A12" s="132">
        <v>8</v>
      </c>
      <c r="B12" s="133">
        <v>17430</v>
      </c>
      <c r="C12" s="134" t="s">
        <v>158</v>
      </c>
      <c r="D12" s="132" t="s">
        <v>159</v>
      </c>
      <c r="E12" s="135">
        <v>20000</v>
      </c>
      <c r="F12" s="135">
        <v>250</v>
      </c>
    </row>
    <row r="13" spans="1:6" ht="23.25">
      <c r="A13" s="132">
        <v>9</v>
      </c>
      <c r="B13" s="133">
        <v>17508</v>
      </c>
      <c r="C13" s="134" t="s">
        <v>160</v>
      </c>
      <c r="D13" s="132" t="s">
        <v>161</v>
      </c>
      <c r="E13" s="135">
        <v>14000</v>
      </c>
      <c r="F13" s="135">
        <v>88</v>
      </c>
    </row>
    <row r="14" spans="1:6" ht="23.25">
      <c r="A14" s="132">
        <v>10</v>
      </c>
      <c r="B14" s="133">
        <v>17701</v>
      </c>
      <c r="C14" s="134" t="s">
        <v>162</v>
      </c>
      <c r="D14" s="132" t="s">
        <v>163</v>
      </c>
      <c r="E14" s="135">
        <v>23000</v>
      </c>
      <c r="F14" s="135">
        <v>288</v>
      </c>
    </row>
    <row r="15" spans="1:6" ht="23.25">
      <c r="A15" s="132">
        <v>11</v>
      </c>
      <c r="B15" s="133">
        <v>17760</v>
      </c>
      <c r="C15" s="134" t="s">
        <v>164</v>
      </c>
      <c r="D15" s="132" t="s">
        <v>165</v>
      </c>
      <c r="E15" s="135">
        <v>30000</v>
      </c>
      <c r="F15" s="135">
        <f>1125+430+589+362</f>
        <v>2506</v>
      </c>
    </row>
    <row r="16" spans="1:6" ht="23.25">
      <c r="A16" s="132">
        <v>12</v>
      </c>
      <c r="B16" s="133">
        <v>17931</v>
      </c>
      <c r="C16" s="134" t="s">
        <v>166</v>
      </c>
      <c r="D16" s="132" t="s">
        <v>167</v>
      </c>
      <c r="E16" s="135">
        <v>40000</v>
      </c>
      <c r="F16" s="135">
        <f>1858+430+589+362</f>
        <v>3239</v>
      </c>
    </row>
    <row r="17" spans="1:6" ht="23.25">
      <c r="A17" s="132">
        <v>13</v>
      </c>
      <c r="B17" s="133">
        <v>18079</v>
      </c>
      <c r="C17" s="134" t="s">
        <v>168</v>
      </c>
      <c r="D17" s="132" t="s">
        <v>169</v>
      </c>
      <c r="E17" s="135">
        <v>15000</v>
      </c>
      <c r="F17" s="135">
        <v>750</v>
      </c>
    </row>
    <row r="18" spans="1:6" ht="23.25">
      <c r="A18" s="132">
        <v>14</v>
      </c>
      <c r="B18" s="133">
        <v>18083</v>
      </c>
      <c r="C18" s="134" t="s">
        <v>170</v>
      </c>
      <c r="D18" s="132" t="s">
        <v>147</v>
      </c>
      <c r="E18" s="135">
        <v>10000</v>
      </c>
      <c r="F18" s="135">
        <v>125</v>
      </c>
    </row>
    <row r="19" spans="1:6" ht="23.25">
      <c r="A19" s="132">
        <v>15</v>
      </c>
      <c r="B19" s="133">
        <v>18219</v>
      </c>
      <c r="C19" s="134" t="s">
        <v>171</v>
      </c>
      <c r="D19" s="132" t="s">
        <v>172</v>
      </c>
      <c r="E19" s="135">
        <v>25000</v>
      </c>
      <c r="F19" s="135">
        <v>313</v>
      </c>
    </row>
    <row r="20" spans="1:6" ht="23.25">
      <c r="A20" s="132">
        <v>16</v>
      </c>
      <c r="B20" s="133">
        <v>18259</v>
      </c>
      <c r="C20" s="134" t="s">
        <v>173</v>
      </c>
      <c r="D20" s="132" t="s">
        <v>161</v>
      </c>
      <c r="E20" s="135">
        <v>7000</v>
      </c>
      <c r="F20" s="135">
        <v>88</v>
      </c>
    </row>
    <row r="21" spans="1:6" ht="23.25">
      <c r="A21" s="132">
        <v>17</v>
      </c>
      <c r="B21" s="133">
        <v>18498</v>
      </c>
      <c r="C21" s="134" t="s">
        <v>174</v>
      </c>
      <c r="D21" s="132" t="s">
        <v>175</v>
      </c>
      <c r="E21" s="135">
        <v>13000</v>
      </c>
      <c r="F21" s="135">
        <v>82</v>
      </c>
    </row>
    <row r="22" spans="1:6" ht="23.25">
      <c r="A22" s="132">
        <v>18</v>
      </c>
      <c r="B22" s="133">
        <v>18499</v>
      </c>
      <c r="C22" s="134" t="s">
        <v>176</v>
      </c>
      <c r="D22" s="132" t="s">
        <v>157</v>
      </c>
      <c r="E22" s="135">
        <v>14000</v>
      </c>
      <c r="F22" s="135">
        <v>175</v>
      </c>
    </row>
    <row r="23" spans="1:6" ht="23.25">
      <c r="A23" s="132">
        <v>19</v>
      </c>
      <c r="B23" s="133">
        <v>237770</v>
      </c>
      <c r="C23" s="134" t="s">
        <v>177</v>
      </c>
      <c r="D23" s="132" t="s">
        <v>178</v>
      </c>
      <c r="E23" s="135">
        <v>25000</v>
      </c>
      <c r="F23" s="135">
        <v>1151</v>
      </c>
    </row>
    <row r="24" spans="1:6" ht="23.25">
      <c r="A24" s="132">
        <v>20</v>
      </c>
      <c r="B24" s="133">
        <v>18820</v>
      </c>
      <c r="C24" s="134" t="s">
        <v>179</v>
      </c>
      <c r="D24" s="132" t="s">
        <v>159</v>
      </c>
      <c r="E24" s="135">
        <v>9000</v>
      </c>
      <c r="F24" s="135">
        <v>113</v>
      </c>
    </row>
    <row r="25" spans="1:6" ht="23.25">
      <c r="A25" s="132">
        <v>21</v>
      </c>
      <c r="B25" s="133">
        <v>18820</v>
      </c>
      <c r="C25" s="134" t="s">
        <v>180</v>
      </c>
      <c r="D25" s="132" t="s">
        <v>181</v>
      </c>
      <c r="E25" s="135">
        <v>26000</v>
      </c>
      <c r="F25" s="135">
        <v>163</v>
      </c>
    </row>
    <row r="26" spans="1:6" ht="23.25">
      <c r="A26" s="132">
        <v>22</v>
      </c>
      <c r="B26" s="133">
        <v>18825</v>
      </c>
      <c r="C26" s="134" t="s">
        <v>182</v>
      </c>
      <c r="D26" s="132" t="s">
        <v>159</v>
      </c>
      <c r="E26" s="135">
        <v>15000</v>
      </c>
      <c r="F26" s="135">
        <v>188</v>
      </c>
    </row>
    <row r="27" spans="1:6" ht="23.25">
      <c r="A27" s="132">
        <v>23</v>
      </c>
      <c r="B27" s="133">
        <v>18910</v>
      </c>
      <c r="C27" s="134" t="s">
        <v>183</v>
      </c>
      <c r="D27" s="132" t="s">
        <v>184</v>
      </c>
      <c r="E27" s="135">
        <v>39000</v>
      </c>
      <c r="F27" s="135">
        <v>1219</v>
      </c>
    </row>
    <row r="28" spans="1:6" ht="23.25">
      <c r="A28" s="132">
        <v>24</v>
      </c>
      <c r="B28" s="133">
        <v>18974</v>
      </c>
      <c r="C28" s="134" t="s">
        <v>185</v>
      </c>
      <c r="D28" s="132" t="s">
        <v>186</v>
      </c>
      <c r="E28" s="135">
        <v>25000</v>
      </c>
      <c r="F28" s="135">
        <v>313</v>
      </c>
    </row>
    <row r="29" spans="1:6" ht="23.25">
      <c r="A29" s="132">
        <v>25</v>
      </c>
      <c r="B29" s="133">
        <v>19192</v>
      </c>
      <c r="C29" s="134" t="s">
        <v>187</v>
      </c>
      <c r="D29" s="132" t="s">
        <v>188</v>
      </c>
      <c r="E29" s="135">
        <v>16000</v>
      </c>
      <c r="F29" s="135">
        <v>200</v>
      </c>
    </row>
    <row r="30" spans="1:6" ht="23.25">
      <c r="A30" s="132">
        <v>26</v>
      </c>
      <c r="B30" s="133">
        <v>19202</v>
      </c>
      <c r="C30" s="134" t="s">
        <v>189</v>
      </c>
      <c r="D30" s="132" t="s">
        <v>190</v>
      </c>
      <c r="E30" s="135">
        <v>26000</v>
      </c>
      <c r="F30" s="135">
        <v>325</v>
      </c>
    </row>
    <row r="31" spans="1:6" ht="23.25">
      <c r="A31" s="132">
        <v>27</v>
      </c>
      <c r="B31" s="136">
        <v>19225</v>
      </c>
      <c r="C31" s="137" t="s">
        <v>191</v>
      </c>
      <c r="D31" s="132" t="s">
        <v>181</v>
      </c>
      <c r="E31" s="135">
        <v>15000</v>
      </c>
      <c r="F31" s="135">
        <v>188</v>
      </c>
    </row>
    <row r="33" spans="1:6" ht="22.5" customHeight="1">
      <c r="A33" s="129" t="s">
        <v>139</v>
      </c>
      <c r="B33" s="129" t="s">
        <v>140</v>
      </c>
      <c r="C33" s="130" t="s">
        <v>141</v>
      </c>
      <c r="D33" s="129" t="s">
        <v>142</v>
      </c>
      <c r="E33" s="131" t="s">
        <v>143</v>
      </c>
      <c r="F33" s="131" t="s">
        <v>144</v>
      </c>
    </row>
    <row r="34" spans="1:6" ht="22.5" customHeight="1">
      <c r="A34" s="132">
        <v>28</v>
      </c>
      <c r="B34" s="133">
        <v>19283</v>
      </c>
      <c r="C34" s="134" t="s">
        <v>192</v>
      </c>
      <c r="D34" s="132" t="s">
        <v>193</v>
      </c>
      <c r="E34" s="135">
        <v>16600</v>
      </c>
      <c r="F34" s="135">
        <v>208</v>
      </c>
    </row>
    <row r="35" spans="1:6" ht="22.5" customHeight="1">
      <c r="A35" s="132">
        <v>29</v>
      </c>
      <c r="B35" s="133">
        <v>19288</v>
      </c>
      <c r="C35" s="134" t="s">
        <v>194</v>
      </c>
      <c r="D35" s="132" t="s">
        <v>195</v>
      </c>
      <c r="E35" s="135">
        <v>9000</v>
      </c>
      <c r="F35" s="135">
        <v>225</v>
      </c>
    </row>
    <row r="36" spans="1:6" ht="22.5" customHeight="1">
      <c r="A36" s="132">
        <v>30</v>
      </c>
      <c r="B36" s="133">
        <v>19400</v>
      </c>
      <c r="C36" s="134" t="s">
        <v>196</v>
      </c>
      <c r="D36" s="132" t="s">
        <v>197</v>
      </c>
      <c r="E36" s="135">
        <v>25000</v>
      </c>
      <c r="F36" s="135">
        <v>1250</v>
      </c>
    </row>
    <row r="37" spans="1:6" ht="22.5" customHeight="1">
      <c r="A37" s="132">
        <v>31</v>
      </c>
      <c r="B37" s="133">
        <v>19429</v>
      </c>
      <c r="C37" s="134" t="s">
        <v>198</v>
      </c>
      <c r="D37" s="132" t="s">
        <v>199</v>
      </c>
      <c r="E37" s="135">
        <v>30000</v>
      </c>
      <c r="F37" s="135">
        <v>375</v>
      </c>
    </row>
    <row r="38" spans="1:6" ht="22.5" customHeight="1">
      <c r="A38" s="132">
        <v>32</v>
      </c>
      <c r="B38" s="133">
        <v>19653</v>
      </c>
      <c r="C38" s="134" t="s">
        <v>200</v>
      </c>
      <c r="D38" s="132" t="s">
        <v>201</v>
      </c>
      <c r="E38" s="135">
        <v>50000</v>
      </c>
      <c r="F38" s="135">
        <v>313</v>
      </c>
    </row>
    <row r="39" spans="1:6" ht="22.5" customHeight="1">
      <c r="A39" s="132">
        <v>33</v>
      </c>
      <c r="B39" s="133">
        <v>19659</v>
      </c>
      <c r="C39" s="134" t="s">
        <v>202</v>
      </c>
      <c r="D39" s="132" t="s">
        <v>203</v>
      </c>
      <c r="E39" s="135">
        <v>13000</v>
      </c>
      <c r="F39" s="135">
        <v>82</v>
      </c>
    </row>
    <row r="40" spans="1:6" ht="22.5" customHeight="1">
      <c r="A40" s="132">
        <v>34</v>
      </c>
      <c r="B40" s="133">
        <v>19661</v>
      </c>
      <c r="C40" s="134" t="s">
        <v>204</v>
      </c>
      <c r="D40" s="132" t="s">
        <v>193</v>
      </c>
      <c r="E40" s="135">
        <v>16600</v>
      </c>
      <c r="F40" s="135">
        <v>104</v>
      </c>
    </row>
    <row r="41" spans="1:6" ht="22.5" customHeight="1">
      <c r="A41" s="132">
        <v>35</v>
      </c>
      <c r="B41" s="133">
        <v>19752</v>
      </c>
      <c r="C41" s="134" t="s">
        <v>205</v>
      </c>
      <c r="D41" s="132" t="s">
        <v>206</v>
      </c>
      <c r="E41" s="135">
        <v>20000</v>
      </c>
      <c r="F41" s="135">
        <v>125</v>
      </c>
    </row>
    <row r="42" spans="1:6" ht="22.5" customHeight="1">
      <c r="A42" s="132">
        <v>36</v>
      </c>
      <c r="B42" s="133">
        <v>19787</v>
      </c>
      <c r="C42" s="134" t="s">
        <v>207</v>
      </c>
      <c r="D42" s="132" t="s">
        <v>184</v>
      </c>
      <c r="E42" s="135">
        <v>39000</v>
      </c>
      <c r="F42" s="135">
        <v>488</v>
      </c>
    </row>
    <row r="43" spans="1:6" ht="22.5" customHeight="1">
      <c r="A43" s="132">
        <v>37</v>
      </c>
      <c r="B43" s="133">
        <v>19976</v>
      </c>
      <c r="C43" s="134" t="s">
        <v>208</v>
      </c>
      <c r="D43" s="132" t="s">
        <v>188</v>
      </c>
      <c r="E43" s="135">
        <v>40000</v>
      </c>
      <c r="F43" s="135">
        <v>250</v>
      </c>
    </row>
    <row r="44" spans="1:6" ht="22.5" customHeight="1">
      <c r="A44" s="132">
        <v>38</v>
      </c>
      <c r="B44" s="133">
        <v>239178</v>
      </c>
      <c r="C44" s="134" t="s">
        <v>209</v>
      </c>
      <c r="D44" s="132" t="s">
        <v>210</v>
      </c>
      <c r="E44" s="135">
        <v>13000</v>
      </c>
      <c r="F44" s="135">
        <v>82</v>
      </c>
    </row>
    <row r="45" spans="1:6" ht="22.5" customHeight="1">
      <c r="A45" s="132">
        <v>39</v>
      </c>
      <c r="B45" s="133">
        <v>239179</v>
      </c>
      <c r="C45" s="134" t="s">
        <v>211</v>
      </c>
      <c r="D45" s="132" t="s">
        <v>212</v>
      </c>
      <c r="E45" s="135">
        <v>50000</v>
      </c>
      <c r="F45" s="135">
        <v>625</v>
      </c>
    </row>
    <row r="46" spans="1:6" ht="22.5" customHeight="1">
      <c r="A46" s="132">
        <v>40</v>
      </c>
      <c r="B46" s="133">
        <v>239185</v>
      </c>
      <c r="C46" s="134" t="s">
        <v>213</v>
      </c>
      <c r="D46" s="132" t="s">
        <v>214</v>
      </c>
      <c r="E46" s="135">
        <v>16600</v>
      </c>
      <c r="F46" s="135">
        <v>104</v>
      </c>
    </row>
    <row r="47" spans="1:6" ht="22.5" customHeight="1">
      <c r="A47" s="132">
        <v>41</v>
      </c>
      <c r="B47" s="133">
        <v>239189</v>
      </c>
      <c r="C47" s="134" t="s">
        <v>215</v>
      </c>
      <c r="D47" s="132" t="s">
        <v>216</v>
      </c>
      <c r="E47" s="135">
        <v>15000</v>
      </c>
      <c r="F47" s="135">
        <v>282</v>
      </c>
    </row>
    <row r="48" spans="1:6" ht="22.5" customHeight="1">
      <c r="A48" s="132">
        <v>42</v>
      </c>
      <c r="B48" s="133">
        <v>239206</v>
      </c>
      <c r="C48" s="134" t="s">
        <v>217</v>
      </c>
      <c r="D48" s="132" t="s">
        <v>218</v>
      </c>
      <c r="E48" s="135">
        <v>60000</v>
      </c>
      <c r="F48" s="135">
        <v>375</v>
      </c>
    </row>
    <row r="49" spans="1:6" ht="22.5" customHeight="1">
      <c r="A49" s="132">
        <v>43</v>
      </c>
      <c r="B49" s="133">
        <v>239308</v>
      </c>
      <c r="C49" s="134" t="s">
        <v>219</v>
      </c>
      <c r="D49" s="132" t="s">
        <v>220</v>
      </c>
      <c r="E49" s="135">
        <v>20000</v>
      </c>
      <c r="F49" s="135">
        <v>125</v>
      </c>
    </row>
    <row r="50" spans="1:6" ht="22.5" customHeight="1">
      <c r="A50" s="132">
        <v>44</v>
      </c>
      <c r="B50" s="133">
        <v>239349</v>
      </c>
      <c r="C50" s="134" t="s">
        <v>221</v>
      </c>
      <c r="D50" s="132" t="s">
        <v>222</v>
      </c>
      <c r="E50" s="135">
        <v>39000</v>
      </c>
      <c r="F50" s="135">
        <v>244</v>
      </c>
    </row>
    <row r="51" spans="1:6" ht="22.5" customHeight="1">
      <c r="A51" s="132">
        <v>45</v>
      </c>
      <c r="B51" s="133">
        <v>20366</v>
      </c>
      <c r="C51" s="134" t="s">
        <v>339</v>
      </c>
      <c r="D51" s="132" t="s">
        <v>340</v>
      </c>
      <c r="E51" s="135">
        <v>26000</v>
      </c>
      <c r="F51" s="135">
        <v>163</v>
      </c>
    </row>
    <row r="52" spans="1:6" ht="22.5" customHeight="1">
      <c r="A52" s="132">
        <v>46</v>
      </c>
      <c r="B52" s="133">
        <v>20436</v>
      </c>
      <c r="C52" s="134" t="s">
        <v>392</v>
      </c>
      <c r="D52" s="132" t="s">
        <v>393</v>
      </c>
      <c r="E52" s="135">
        <v>60000</v>
      </c>
      <c r="F52" s="135">
        <v>375</v>
      </c>
    </row>
    <row r="53" spans="1:6" ht="22.5" customHeight="1">
      <c r="A53" s="132">
        <v>47</v>
      </c>
      <c r="B53" s="133">
        <v>20386</v>
      </c>
      <c r="C53" s="134" t="s">
        <v>394</v>
      </c>
      <c r="D53" s="132" t="s">
        <v>395</v>
      </c>
      <c r="E53" s="135">
        <v>40000</v>
      </c>
      <c r="F53" s="135">
        <v>1000</v>
      </c>
    </row>
    <row r="54" spans="1:6" ht="22.5" customHeight="1">
      <c r="A54" s="132">
        <v>48</v>
      </c>
      <c r="B54" s="133">
        <v>20582</v>
      </c>
      <c r="C54" s="134" t="s">
        <v>396</v>
      </c>
      <c r="D54" s="132" t="s">
        <v>397</v>
      </c>
      <c r="E54" s="135">
        <v>39000</v>
      </c>
      <c r="F54" s="135">
        <v>488</v>
      </c>
    </row>
    <row r="55" spans="1:6" ht="22.5" customHeight="1">
      <c r="A55" s="132">
        <v>49</v>
      </c>
      <c r="B55" s="133">
        <v>20913</v>
      </c>
      <c r="C55" s="134" t="s">
        <v>398</v>
      </c>
      <c r="D55" s="132" t="s">
        <v>220</v>
      </c>
      <c r="E55" s="135">
        <v>20000</v>
      </c>
      <c r="F55" s="135">
        <v>625</v>
      </c>
    </row>
    <row r="56" spans="1:6" ht="22.5" customHeight="1">
      <c r="A56" s="132">
        <v>50</v>
      </c>
      <c r="B56" s="133">
        <v>20681</v>
      </c>
      <c r="C56" s="134" t="s">
        <v>399</v>
      </c>
      <c r="D56" s="132" t="s">
        <v>383</v>
      </c>
      <c r="E56" s="135">
        <v>40000</v>
      </c>
      <c r="F56" s="135">
        <v>250</v>
      </c>
    </row>
    <row r="57" spans="1:6" ht="22.5" customHeight="1">
      <c r="A57" s="132">
        <v>51</v>
      </c>
      <c r="B57" s="133">
        <v>20766</v>
      </c>
      <c r="C57" s="134" t="s">
        <v>384</v>
      </c>
      <c r="D57" s="132" t="s">
        <v>461</v>
      </c>
      <c r="E57" s="135">
        <v>15000</v>
      </c>
      <c r="F57" s="135">
        <v>188</v>
      </c>
    </row>
    <row r="58" spans="1:6" ht="22.5" customHeight="1">
      <c r="A58" s="132"/>
      <c r="B58" s="133"/>
      <c r="C58" s="134"/>
      <c r="D58" s="132"/>
      <c r="E58" s="135"/>
      <c r="F58" s="135"/>
    </row>
    <row r="59" spans="1:6" ht="22.5" customHeight="1" thickBot="1">
      <c r="A59" s="309" t="s">
        <v>19</v>
      </c>
      <c r="B59" s="310"/>
      <c r="C59" s="310"/>
      <c r="D59" s="311"/>
      <c r="E59" s="139">
        <f>SUM(E5:E58)</f>
        <v>1467100</v>
      </c>
      <c r="F59" s="139">
        <f>SUM(F5:F57)</f>
        <v>26912</v>
      </c>
    </row>
    <row r="60" spans="1:6" ht="22.5" customHeight="1" thickTop="1">
      <c r="A60" s="140"/>
      <c r="B60" s="140"/>
      <c r="C60" s="140"/>
      <c r="D60" s="140"/>
      <c r="E60" s="140"/>
      <c r="F60" s="140"/>
    </row>
    <row r="61" spans="1:6" ht="22.5" customHeight="1">
      <c r="A61" s="307" t="s">
        <v>400</v>
      </c>
      <c r="B61" s="307"/>
      <c r="C61" s="307"/>
      <c r="D61" s="307"/>
      <c r="E61" s="307"/>
      <c r="F61" s="307"/>
    </row>
    <row r="62" spans="1:6" ht="22.5" customHeight="1">
      <c r="A62" s="307" t="s">
        <v>223</v>
      </c>
      <c r="B62" s="307"/>
      <c r="C62" s="307"/>
      <c r="D62" s="307"/>
      <c r="E62" s="307"/>
      <c r="F62" s="307"/>
    </row>
    <row r="63" spans="1:6" ht="22.5" customHeight="1">
      <c r="A63" s="307" t="s">
        <v>224</v>
      </c>
      <c r="B63" s="307"/>
      <c r="C63" s="307"/>
      <c r="D63" s="307"/>
      <c r="E63" s="307"/>
      <c r="F63" s="307"/>
    </row>
    <row r="64" ht="18.75" customHeight="1"/>
  </sheetData>
  <sheetProtection/>
  <mergeCells count="7">
    <mergeCell ref="A63:F63"/>
    <mergeCell ref="A1:F1"/>
    <mergeCell ref="A2:F2"/>
    <mergeCell ref="A3:F3"/>
    <mergeCell ref="A59:D59"/>
    <mergeCell ref="A61:F61"/>
    <mergeCell ref="A62:F62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5"/>
  <sheetViews>
    <sheetView view="pageBreakPreview" zoomScaleSheetLayoutView="100" zoomScalePageLayoutView="0" workbookViewId="0" topLeftCell="A19">
      <selection activeCell="H8" sqref="H8"/>
    </sheetView>
  </sheetViews>
  <sheetFormatPr defaultColWidth="9.140625" defaultRowHeight="12.75"/>
  <cols>
    <col min="1" max="1" width="12.28125" style="154" customWidth="1"/>
    <col min="2" max="2" width="33.8515625" style="154" customWidth="1"/>
    <col min="3" max="3" width="38.421875" style="155" customWidth="1"/>
    <col min="4" max="16384" width="9.140625" style="128" customWidth="1"/>
  </cols>
  <sheetData>
    <row r="1" spans="1:3" ht="23.25">
      <c r="A1" s="304" t="s">
        <v>561</v>
      </c>
      <c r="B1" s="304"/>
      <c r="C1" s="304"/>
    </row>
    <row r="2" spans="1:3" ht="23.25">
      <c r="A2" s="304" t="s">
        <v>372</v>
      </c>
      <c r="B2" s="304"/>
      <c r="C2" s="304"/>
    </row>
    <row r="3" spans="1:3" ht="23.25">
      <c r="A3" s="304" t="s">
        <v>260</v>
      </c>
      <c r="B3" s="304"/>
      <c r="C3" s="304"/>
    </row>
    <row r="4" spans="1:3" ht="19.5" customHeight="1">
      <c r="A4" s="175" t="s">
        <v>139</v>
      </c>
      <c r="B4" s="175" t="s">
        <v>140</v>
      </c>
      <c r="C4" s="177" t="s">
        <v>265</v>
      </c>
    </row>
    <row r="5" spans="1:3" ht="19.5" customHeight="1">
      <c r="A5" s="215">
        <v>1</v>
      </c>
      <c r="B5" s="211">
        <v>235849</v>
      </c>
      <c r="C5" s="216">
        <v>103.54</v>
      </c>
    </row>
    <row r="6" spans="1:3" ht="19.5" customHeight="1">
      <c r="A6" s="215">
        <v>2</v>
      </c>
      <c r="B6" s="211">
        <v>236021</v>
      </c>
      <c r="C6" s="216">
        <v>136.72</v>
      </c>
    </row>
    <row r="7" spans="1:3" ht="19.5" customHeight="1">
      <c r="A7" s="215">
        <v>3</v>
      </c>
      <c r="B7" s="211">
        <v>236213</v>
      </c>
      <c r="C7" s="216">
        <v>211.02</v>
      </c>
    </row>
    <row r="8" spans="1:3" ht="19.5" customHeight="1">
      <c r="A8" s="215">
        <v>4</v>
      </c>
      <c r="B8" s="211">
        <v>236394</v>
      </c>
      <c r="C8" s="216">
        <v>57.48</v>
      </c>
    </row>
    <row r="9" spans="1:3" ht="19.5" customHeight="1">
      <c r="A9" s="215">
        <v>5</v>
      </c>
      <c r="B9" s="211">
        <v>236583</v>
      </c>
      <c r="C9" s="216">
        <v>146.63</v>
      </c>
    </row>
    <row r="10" spans="1:3" ht="18.75" customHeight="1">
      <c r="A10" s="215">
        <v>6</v>
      </c>
      <c r="B10" s="211">
        <v>236759</v>
      </c>
      <c r="C10" s="217">
        <v>119.2</v>
      </c>
    </row>
    <row r="11" spans="1:3" ht="19.5" customHeight="1">
      <c r="A11" s="215">
        <v>7</v>
      </c>
      <c r="B11" s="211">
        <v>236948</v>
      </c>
      <c r="C11" s="217">
        <v>287.6</v>
      </c>
    </row>
    <row r="12" spans="1:3" ht="19.5" customHeight="1">
      <c r="A12" s="215">
        <v>8</v>
      </c>
      <c r="B12" s="211">
        <v>237130</v>
      </c>
      <c r="C12" s="216">
        <v>403.22</v>
      </c>
    </row>
    <row r="13" spans="1:3" ht="19.5" customHeight="1">
      <c r="A13" s="215">
        <v>9</v>
      </c>
      <c r="B13" s="211">
        <v>237312</v>
      </c>
      <c r="C13" s="218">
        <v>234.17</v>
      </c>
    </row>
    <row r="14" spans="1:3" ht="19.5" customHeight="1">
      <c r="A14" s="215">
        <v>10</v>
      </c>
      <c r="B14" s="211">
        <v>18348</v>
      </c>
      <c r="C14" s="218">
        <v>254.88</v>
      </c>
    </row>
    <row r="15" spans="1:3" ht="19.5" customHeight="1">
      <c r="A15" s="215">
        <v>11</v>
      </c>
      <c r="B15" s="211">
        <v>237676</v>
      </c>
      <c r="C15" s="218">
        <v>346.72</v>
      </c>
    </row>
    <row r="16" spans="1:3" ht="19.5" customHeight="1">
      <c r="A16" s="215">
        <v>12</v>
      </c>
      <c r="B16" s="211">
        <v>237857</v>
      </c>
      <c r="C16" s="218">
        <v>339.62</v>
      </c>
    </row>
    <row r="17" spans="1:3" ht="19.5" customHeight="1">
      <c r="A17" s="215">
        <v>13</v>
      </c>
      <c r="B17" s="211">
        <v>238039</v>
      </c>
      <c r="C17" s="218">
        <v>342.47</v>
      </c>
    </row>
    <row r="18" spans="1:3" ht="19.5" customHeight="1">
      <c r="A18" s="215">
        <v>14</v>
      </c>
      <c r="B18" s="211">
        <v>238222</v>
      </c>
      <c r="C18" s="218">
        <v>358.51</v>
      </c>
    </row>
    <row r="19" spans="1:3" ht="19.5" customHeight="1">
      <c r="A19" s="215">
        <v>15</v>
      </c>
      <c r="B19" s="211">
        <v>238404</v>
      </c>
      <c r="C19" s="218">
        <v>183.56</v>
      </c>
    </row>
    <row r="20" spans="1:3" ht="19.5" customHeight="1">
      <c r="A20" s="215">
        <v>16</v>
      </c>
      <c r="B20" s="211">
        <v>238586</v>
      </c>
      <c r="C20" s="218">
        <v>249.47</v>
      </c>
    </row>
    <row r="21" spans="1:3" ht="19.5" customHeight="1">
      <c r="A21" s="215">
        <v>17</v>
      </c>
      <c r="B21" s="211">
        <v>238775</v>
      </c>
      <c r="C21" s="218">
        <v>221.32</v>
      </c>
    </row>
    <row r="22" spans="1:3" ht="19.5" customHeight="1">
      <c r="A22" s="215">
        <v>18</v>
      </c>
      <c r="B22" s="211">
        <v>238949</v>
      </c>
      <c r="C22" s="218">
        <v>207.96</v>
      </c>
    </row>
    <row r="23" spans="1:3" ht="19.5" customHeight="1">
      <c r="A23" s="215">
        <v>19</v>
      </c>
      <c r="B23" s="211">
        <v>239138</v>
      </c>
      <c r="C23" s="218">
        <v>487.4</v>
      </c>
    </row>
    <row r="24" spans="1:3" ht="19.5" customHeight="1">
      <c r="A24" s="215">
        <v>20</v>
      </c>
      <c r="B24" s="211">
        <v>239320</v>
      </c>
      <c r="C24" s="218">
        <v>323.86</v>
      </c>
    </row>
    <row r="25" spans="1:3" ht="19.5" customHeight="1">
      <c r="A25" s="215">
        <v>21</v>
      </c>
      <c r="B25" s="211">
        <v>239507</v>
      </c>
      <c r="C25" s="218">
        <v>369.85</v>
      </c>
    </row>
    <row r="26" spans="1:3" ht="19.5" customHeight="1">
      <c r="A26" s="215">
        <v>22</v>
      </c>
      <c r="B26" s="211">
        <v>239691</v>
      </c>
      <c r="C26" s="218">
        <v>451.52</v>
      </c>
    </row>
    <row r="27" spans="1:3" ht="19.5" customHeight="1">
      <c r="A27" s="215">
        <v>23</v>
      </c>
      <c r="B27" s="211">
        <v>239872</v>
      </c>
      <c r="C27" s="218">
        <v>358.8</v>
      </c>
    </row>
    <row r="28" spans="1:3" ht="19.5" customHeight="1">
      <c r="A28" s="215">
        <v>24</v>
      </c>
      <c r="B28" s="211">
        <v>240054</v>
      </c>
      <c r="C28" s="218">
        <v>415.47</v>
      </c>
    </row>
    <row r="29" spans="1:3" ht="19.5" customHeight="1">
      <c r="A29" s="215">
        <v>25</v>
      </c>
      <c r="B29" s="211">
        <v>21090</v>
      </c>
      <c r="C29" s="218">
        <v>271.13</v>
      </c>
    </row>
    <row r="30" spans="1:3" ht="19.5" customHeight="1">
      <c r="A30" s="215">
        <v>26</v>
      </c>
      <c r="B30" s="211">
        <v>21272</v>
      </c>
      <c r="C30" s="218">
        <v>381.92</v>
      </c>
    </row>
    <row r="31" spans="1:3" ht="24" thickBot="1">
      <c r="A31" s="312" t="s">
        <v>19</v>
      </c>
      <c r="B31" s="313"/>
      <c r="C31" s="219">
        <f>SUM(C5:C30)</f>
        <v>7264.04</v>
      </c>
    </row>
    <row r="32" spans="1:3" ht="24" thickTop="1">
      <c r="A32" s="220"/>
      <c r="B32" s="220"/>
      <c r="C32" s="221"/>
    </row>
    <row r="33" spans="1:3" ht="23.25">
      <c r="A33" s="305" t="s">
        <v>401</v>
      </c>
      <c r="B33" s="305"/>
      <c r="C33" s="305"/>
    </row>
    <row r="34" spans="1:3" ht="23.25">
      <c r="A34" s="314" t="s">
        <v>402</v>
      </c>
      <c r="B34" s="314"/>
      <c r="C34" s="314"/>
    </row>
    <row r="35" spans="1:3" ht="23.25">
      <c r="A35" s="302" t="s">
        <v>403</v>
      </c>
      <c r="B35" s="302"/>
      <c r="C35" s="302"/>
    </row>
  </sheetData>
  <sheetProtection/>
  <mergeCells count="7">
    <mergeCell ref="A35:C35"/>
    <mergeCell ref="A1:C1"/>
    <mergeCell ref="A2:C2"/>
    <mergeCell ref="A3:C3"/>
    <mergeCell ref="A31:B31"/>
    <mergeCell ref="A33:C33"/>
    <mergeCell ref="A34:C34"/>
  </mergeCells>
  <printOptions/>
  <pageMargins left="0.984251968503937" right="0.5905511811023623" top="0.5905511811023623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59"/>
  <sheetViews>
    <sheetView view="pageBreakPreview" zoomScaleSheetLayoutView="100" zoomScalePageLayoutView="0" workbookViewId="0" topLeftCell="A190">
      <selection activeCell="F202" sqref="F202"/>
    </sheetView>
  </sheetViews>
  <sheetFormatPr defaultColWidth="9.140625" defaultRowHeight="19.5" customHeight="1"/>
  <cols>
    <col min="1" max="1" width="9.8515625" style="289" customWidth="1"/>
    <col min="2" max="3" width="10.8515625" style="289" customWidth="1"/>
    <col min="4" max="4" width="10.28125" style="243" customWidth="1"/>
    <col min="5" max="5" width="43.421875" style="243" customWidth="1"/>
    <col min="6" max="6" width="6.28125" style="287" customWidth="1"/>
    <col min="7" max="7" width="10.7109375" style="289" customWidth="1"/>
    <col min="8" max="8" width="11.421875" style="243" customWidth="1"/>
    <col min="9" max="9" width="20.8515625" style="243" customWidth="1"/>
    <col min="10" max="10" width="45.7109375" style="243" customWidth="1"/>
    <col min="11" max="16384" width="9.140625" style="243" customWidth="1"/>
  </cols>
  <sheetData>
    <row r="1" spans="1:7" ht="19.5" customHeight="1">
      <c r="A1" s="244" t="s">
        <v>34</v>
      </c>
      <c r="B1" s="244"/>
      <c r="C1" s="244"/>
      <c r="D1" s="244"/>
      <c r="E1" s="321" t="s">
        <v>425</v>
      </c>
      <c r="F1" s="321"/>
      <c r="G1" s="321"/>
    </row>
    <row r="2" spans="1:7" ht="19.5" customHeight="1">
      <c r="A2" s="319" t="s">
        <v>20</v>
      </c>
      <c r="B2" s="319"/>
      <c r="C2" s="319"/>
      <c r="D2" s="319"/>
      <c r="E2" s="319"/>
      <c r="F2" s="319"/>
      <c r="G2" s="319"/>
    </row>
    <row r="3" spans="1:7" ht="19.5" customHeight="1">
      <c r="A3" s="319" t="s">
        <v>584</v>
      </c>
      <c r="B3" s="319"/>
      <c r="C3" s="319"/>
      <c r="D3" s="319"/>
      <c r="E3" s="319"/>
      <c r="F3" s="319"/>
      <c r="G3" s="319"/>
    </row>
    <row r="4" spans="1:7" ht="19.5" customHeight="1">
      <c r="A4" s="322" t="s">
        <v>21</v>
      </c>
      <c r="B4" s="323"/>
      <c r="C4" s="323"/>
      <c r="D4" s="324"/>
      <c r="E4" s="325" t="s">
        <v>24</v>
      </c>
      <c r="F4" s="245"/>
      <c r="G4" s="246" t="s">
        <v>70</v>
      </c>
    </row>
    <row r="5" spans="1:7" ht="19.5" customHeight="1">
      <c r="A5" s="246" t="s">
        <v>22</v>
      </c>
      <c r="B5" s="247" t="s">
        <v>511</v>
      </c>
      <c r="C5" s="247" t="s">
        <v>19</v>
      </c>
      <c r="D5" s="248" t="s">
        <v>23</v>
      </c>
      <c r="E5" s="326"/>
      <c r="F5" s="249" t="s">
        <v>25</v>
      </c>
      <c r="G5" s="250" t="s">
        <v>514</v>
      </c>
    </row>
    <row r="6" spans="1:7" ht="19.5" customHeight="1">
      <c r="A6" s="250" t="s">
        <v>28</v>
      </c>
      <c r="B6" s="251" t="s">
        <v>512</v>
      </c>
      <c r="C6" s="252" t="s">
        <v>28</v>
      </c>
      <c r="D6" s="253" t="s">
        <v>28</v>
      </c>
      <c r="E6" s="326"/>
      <c r="F6" s="249" t="s">
        <v>26</v>
      </c>
      <c r="G6" s="250" t="s">
        <v>515</v>
      </c>
    </row>
    <row r="7" spans="1:7" ht="19.5" customHeight="1">
      <c r="A7" s="254"/>
      <c r="B7" s="255" t="s">
        <v>513</v>
      </c>
      <c r="C7" s="255"/>
      <c r="D7" s="256"/>
      <c r="E7" s="327"/>
      <c r="F7" s="249"/>
      <c r="G7" s="254" t="s">
        <v>28</v>
      </c>
    </row>
    <row r="8" spans="1:7" ht="19.5" customHeight="1">
      <c r="A8" s="257"/>
      <c r="B8" s="257"/>
      <c r="C8" s="257"/>
      <c r="D8" s="257">
        <v>32914884.13</v>
      </c>
      <c r="E8" s="230" t="s">
        <v>29</v>
      </c>
      <c r="F8" s="249"/>
      <c r="G8" s="258">
        <v>35414674.14</v>
      </c>
    </row>
    <row r="9" spans="1:7" ht="19.5" customHeight="1">
      <c r="A9" s="258"/>
      <c r="B9" s="258"/>
      <c r="C9" s="258"/>
      <c r="D9" s="259"/>
      <c r="E9" s="230" t="s">
        <v>520</v>
      </c>
      <c r="F9" s="249"/>
      <c r="G9" s="258"/>
    </row>
    <row r="10" spans="1:7" ht="19.5" customHeight="1">
      <c r="A10" s="260">
        <v>387700</v>
      </c>
      <c r="B10" s="260"/>
      <c r="C10" s="260">
        <v>387700</v>
      </c>
      <c r="D10" s="260">
        <f>37.38+266.08+105.67+13828.93+19166.52+358495.87+33616.58+4998+4824.14+3669.91</f>
        <v>439009.08</v>
      </c>
      <c r="E10" s="231" t="s">
        <v>39</v>
      </c>
      <c r="F10" s="249" t="s">
        <v>348</v>
      </c>
      <c r="G10" s="258">
        <v>3669.91</v>
      </c>
    </row>
    <row r="11" spans="1:7" ht="19.5" customHeight="1">
      <c r="A11" s="260">
        <v>166750</v>
      </c>
      <c r="B11" s="260"/>
      <c r="C11" s="260">
        <v>166750</v>
      </c>
      <c r="D11" s="260">
        <f>3461.4+1435+1623.4+4611+31758.8+57870+9527.2+1775+2299+3519</f>
        <v>117879.8</v>
      </c>
      <c r="E11" s="231" t="s">
        <v>42</v>
      </c>
      <c r="F11" s="249" t="s">
        <v>349</v>
      </c>
      <c r="G11" s="258">
        <v>3519</v>
      </c>
    </row>
    <row r="12" spans="1:7" ht="19.5" customHeight="1">
      <c r="A12" s="260">
        <v>260000</v>
      </c>
      <c r="B12" s="260"/>
      <c r="C12" s="260">
        <v>260000</v>
      </c>
      <c r="D12" s="260">
        <f>6709.96+4845.6+59080.76+6709.96+4845.6+183990.76+6564.1+4687.59+18376.89+44179.96</f>
        <v>339991.18000000005</v>
      </c>
      <c r="E12" s="231" t="s">
        <v>44</v>
      </c>
      <c r="F12" s="249" t="s">
        <v>350</v>
      </c>
      <c r="G12" s="250">
        <v>44179.96</v>
      </c>
    </row>
    <row r="13" spans="1:7" ht="19.5" customHeight="1">
      <c r="A13" s="260">
        <v>100800</v>
      </c>
      <c r="B13" s="260"/>
      <c r="C13" s="260">
        <v>100800</v>
      </c>
      <c r="D13" s="260">
        <f>20000+400+41700+200+19000+4750+17700+11950+100</f>
        <v>115800</v>
      </c>
      <c r="E13" s="231" t="s">
        <v>46</v>
      </c>
      <c r="F13" s="249" t="s">
        <v>351</v>
      </c>
      <c r="G13" s="250">
        <v>100</v>
      </c>
    </row>
    <row r="14" spans="1:7" ht="19.5" customHeight="1">
      <c r="A14" s="260">
        <v>500</v>
      </c>
      <c r="B14" s="260"/>
      <c r="C14" s="260">
        <v>500</v>
      </c>
      <c r="D14" s="260">
        <f>310</f>
        <v>310</v>
      </c>
      <c r="E14" s="231" t="s">
        <v>77</v>
      </c>
      <c r="F14" s="249" t="s">
        <v>352</v>
      </c>
      <c r="G14" s="250">
        <v>0</v>
      </c>
    </row>
    <row r="15" spans="1:7" ht="19.5" customHeight="1">
      <c r="A15" s="260">
        <v>13207700</v>
      </c>
      <c r="B15" s="260"/>
      <c r="C15" s="260">
        <v>13207700</v>
      </c>
      <c r="D15" s="260">
        <f>1250419.28+1383075.61+424805.9+1264352.25+1235158.02+1171154.62+1394262.86+2041146.98+1195933.07+875540.9</f>
        <v>12235849.490000002</v>
      </c>
      <c r="E15" s="231" t="s">
        <v>48</v>
      </c>
      <c r="F15" s="249" t="s">
        <v>353</v>
      </c>
      <c r="G15" s="250">
        <v>875540.9</v>
      </c>
    </row>
    <row r="16" spans="1:7" ht="19.5" customHeight="1">
      <c r="A16" s="261">
        <v>8299400</v>
      </c>
      <c r="B16" s="262"/>
      <c r="C16" s="261">
        <v>8299400</v>
      </c>
      <c r="D16" s="262">
        <f>902080+2834237+943080+1620321+892080+853750</f>
        <v>8045548</v>
      </c>
      <c r="E16" s="231" t="s">
        <v>128</v>
      </c>
      <c r="F16" s="249" t="s">
        <v>354</v>
      </c>
      <c r="G16" s="250">
        <v>853750</v>
      </c>
    </row>
    <row r="17" spans="1:7" ht="19.5" customHeight="1">
      <c r="A17" s="263">
        <f>SUM(A10:A16)</f>
        <v>22422850</v>
      </c>
      <c r="B17" s="263"/>
      <c r="C17" s="263">
        <f>SUM(C10:C16)</f>
        <v>22422850</v>
      </c>
      <c r="D17" s="263">
        <f>SUM(D10:D16)</f>
        <v>21294387.550000004</v>
      </c>
      <c r="E17" s="239" t="s">
        <v>19</v>
      </c>
      <c r="F17" s="264"/>
      <c r="G17" s="265">
        <f>SUM(G10:G16)</f>
        <v>1780759.77</v>
      </c>
    </row>
    <row r="18" spans="1:7" ht="19.5" customHeight="1">
      <c r="A18" s="260"/>
      <c r="B18" s="260"/>
      <c r="C18" s="260"/>
      <c r="D18" s="260"/>
      <c r="E18" s="232" t="s">
        <v>516</v>
      </c>
      <c r="F18" s="264"/>
      <c r="G18" s="258"/>
    </row>
    <row r="19" spans="1:7" ht="19.5" customHeight="1">
      <c r="A19" s="260"/>
      <c r="B19" s="260"/>
      <c r="C19" s="260"/>
      <c r="D19" s="260">
        <f>1770600+590200+590200+1180400+591000+553900+1734300</f>
        <v>7010600</v>
      </c>
      <c r="E19" s="233" t="s">
        <v>433</v>
      </c>
      <c r="F19" s="249" t="s">
        <v>436</v>
      </c>
      <c r="G19" s="258">
        <v>1734300</v>
      </c>
    </row>
    <row r="20" spans="1:7" ht="19.5" customHeight="1">
      <c r="A20" s="260"/>
      <c r="B20" s="260"/>
      <c r="C20" s="260"/>
      <c r="D20" s="260">
        <f>291000+329800+465600+155200+143200</f>
        <v>1384800</v>
      </c>
      <c r="E20" s="233" t="s">
        <v>434</v>
      </c>
      <c r="F20" s="249" t="s">
        <v>436</v>
      </c>
      <c r="G20" s="258">
        <v>0</v>
      </c>
    </row>
    <row r="21" spans="1:7" ht="19.5" customHeight="1">
      <c r="A21" s="260"/>
      <c r="B21" s="260"/>
      <c r="C21" s="260"/>
      <c r="D21" s="260">
        <f>62685+20895+41790+84305</f>
        <v>209675</v>
      </c>
      <c r="E21" s="233" t="s">
        <v>439</v>
      </c>
      <c r="F21" s="249" t="s">
        <v>436</v>
      </c>
      <c r="G21" s="258">
        <v>0</v>
      </c>
    </row>
    <row r="22" spans="1:7" ht="19.5" customHeight="1">
      <c r="A22" s="260"/>
      <c r="B22" s="260"/>
      <c r="C22" s="260"/>
      <c r="D22" s="260">
        <f>1049248</f>
        <v>1049248</v>
      </c>
      <c r="E22" s="233" t="s">
        <v>437</v>
      </c>
      <c r="F22" s="249" t="s">
        <v>436</v>
      </c>
      <c r="G22" s="258">
        <v>0</v>
      </c>
    </row>
    <row r="23" spans="1:7" ht="19.5" customHeight="1">
      <c r="A23" s="260"/>
      <c r="B23" s="260"/>
      <c r="C23" s="260"/>
      <c r="D23" s="260">
        <f>71400+71400</f>
        <v>142800</v>
      </c>
      <c r="E23" s="233" t="s">
        <v>521</v>
      </c>
      <c r="F23" s="249" t="s">
        <v>436</v>
      </c>
      <c r="G23" s="258">
        <v>0</v>
      </c>
    </row>
    <row r="24" spans="1:7" ht="19.5" customHeight="1">
      <c r="A24" s="260"/>
      <c r="B24" s="260"/>
      <c r="C24" s="260"/>
      <c r="D24" s="260"/>
      <c r="E24" s="233" t="s">
        <v>522</v>
      </c>
      <c r="F24" s="249"/>
      <c r="G24" s="258"/>
    </row>
    <row r="25" spans="1:7" ht="19.5" customHeight="1">
      <c r="A25" s="260"/>
      <c r="B25" s="260"/>
      <c r="C25" s="260"/>
      <c r="D25" s="260">
        <f>35000</f>
        <v>35000</v>
      </c>
      <c r="E25" s="290" t="s">
        <v>488</v>
      </c>
      <c r="F25" s="249" t="s">
        <v>436</v>
      </c>
      <c r="G25" s="258">
        <v>0</v>
      </c>
    </row>
    <row r="26" spans="1:7" ht="19.5" customHeight="1">
      <c r="A26" s="260"/>
      <c r="B26" s="260"/>
      <c r="C26" s="260"/>
      <c r="D26" s="260">
        <f>25000</f>
        <v>25000</v>
      </c>
      <c r="E26" s="231" t="s">
        <v>524</v>
      </c>
      <c r="F26" s="249" t="s">
        <v>436</v>
      </c>
      <c r="G26" s="258">
        <v>0</v>
      </c>
    </row>
    <row r="27" spans="1:7" ht="19.5" customHeight="1">
      <c r="A27" s="260"/>
      <c r="B27" s="260"/>
      <c r="C27" s="260"/>
      <c r="D27" s="260"/>
      <c r="E27" s="231" t="s">
        <v>523</v>
      </c>
      <c r="F27" s="249"/>
      <c r="G27" s="258"/>
    </row>
    <row r="28" spans="1:7" ht="19.5" customHeight="1">
      <c r="A28" s="260"/>
      <c r="B28" s="260"/>
      <c r="C28" s="260"/>
      <c r="D28" s="263">
        <f>SUM(D19:D26)</f>
        <v>9857123</v>
      </c>
      <c r="E28" s="239" t="s">
        <v>19</v>
      </c>
      <c r="F28" s="249"/>
      <c r="G28" s="265">
        <f>SUM(G19:G26)</f>
        <v>1734300</v>
      </c>
    </row>
    <row r="29" spans="1:7" ht="19.5" customHeight="1">
      <c r="A29" s="266"/>
      <c r="B29" s="266"/>
      <c r="C29" s="266"/>
      <c r="D29" s="260">
        <f>500+62500+1000+1000+234000+302330+12100+180200+19300+27100</f>
        <v>840030</v>
      </c>
      <c r="E29" s="231" t="s">
        <v>498</v>
      </c>
      <c r="F29" s="249" t="s">
        <v>540</v>
      </c>
      <c r="G29" s="258">
        <v>27100</v>
      </c>
    </row>
    <row r="30" spans="1:7" ht="19.5" customHeight="1">
      <c r="A30" s="266"/>
      <c r="B30" s="266"/>
      <c r="C30" s="266"/>
      <c r="D30" s="260">
        <f>1368700+846028+19900+587500+530500+486500</f>
        <v>3839128</v>
      </c>
      <c r="E30" s="231" t="s">
        <v>120</v>
      </c>
      <c r="F30" s="249" t="s">
        <v>547</v>
      </c>
      <c r="G30" s="258">
        <v>486500</v>
      </c>
    </row>
    <row r="31" spans="1:7" ht="19.5" customHeight="1">
      <c r="A31" s="266"/>
      <c r="B31" s="266"/>
      <c r="C31" s="266"/>
      <c r="D31" s="260">
        <f>32.93+1271.81+75.65+77.43+784.98+186.01+372.02</f>
        <v>2800.8300000000004</v>
      </c>
      <c r="E31" s="231" t="s">
        <v>345</v>
      </c>
      <c r="F31" s="249" t="s">
        <v>541</v>
      </c>
      <c r="G31" s="258">
        <v>0</v>
      </c>
    </row>
    <row r="32" spans="1:7" ht="19.5" customHeight="1">
      <c r="A32" s="266"/>
      <c r="B32" s="266"/>
      <c r="C32" s="266"/>
      <c r="D32" s="260">
        <f>26000+240000+154000+180000+46000</f>
        <v>646000</v>
      </c>
      <c r="E32" s="231" t="s">
        <v>545</v>
      </c>
      <c r="F32" s="249" t="s">
        <v>542</v>
      </c>
      <c r="G32" s="258">
        <v>0</v>
      </c>
    </row>
    <row r="33" spans="1:7" ht="19.5" customHeight="1">
      <c r="A33" s="260"/>
      <c r="B33" s="260"/>
      <c r="C33" s="260"/>
      <c r="D33" s="260">
        <f>28000+23544+2458.2+800+350</f>
        <v>55152.2</v>
      </c>
      <c r="E33" s="231" t="s">
        <v>479</v>
      </c>
      <c r="F33" s="249"/>
      <c r="G33" s="258">
        <v>350</v>
      </c>
    </row>
    <row r="34" spans="1:7" ht="19.5" customHeight="1">
      <c r="A34" s="266"/>
      <c r="B34" s="266"/>
      <c r="C34" s="266"/>
      <c r="D34" s="260">
        <f>329439.05+116317.61+21846.58+93486.71+36288.35+45772.03+56478.57+48795.4+53942.32+83656.87</f>
        <v>886023.4899999999</v>
      </c>
      <c r="E34" s="231" t="s">
        <v>131</v>
      </c>
      <c r="F34" s="249" t="s">
        <v>548</v>
      </c>
      <c r="G34" s="258">
        <v>83656.87</v>
      </c>
    </row>
    <row r="35" spans="1:7" ht="19.5" customHeight="1">
      <c r="A35" s="267"/>
      <c r="B35" s="267"/>
      <c r="C35" s="267"/>
      <c r="D35" s="263">
        <f>SUM(D29:D34)</f>
        <v>6269134.5200000005</v>
      </c>
      <c r="E35" s="239" t="s">
        <v>19</v>
      </c>
      <c r="F35" s="249"/>
      <c r="G35" s="265">
        <f>SUM(G29:G34)</f>
        <v>597606.87</v>
      </c>
    </row>
    <row r="36" spans="1:7" ht="19.5" customHeight="1">
      <c r="A36" s="258"/>
      <c r="B36" s="258"/>
      <c r="C36" s="258"/>
      <c r="D36" s="263">
        <f>SUM(D17,D28,D35)</f>
        <v>37420645.07000001</v>
      </c>
      <c r="E36" s="239" t="s">
        <v>30</v>
      </c>
      <c r="F36" s="249"/>
      <c r="G36" s="265">
        <f>SUM(G17,G28,G35)</f>
        <v>4112666.64</v>
      </c>
    </row>
    <row r="37" spans="1:7" ht="19.5" customHeight="1">
      <c r="A37" s="268"/>
      <c r="B37" s="268"/>
      <c r="C37" s="268"/>
      <c r="D37" s="269"/>
      <c r="E37" s="234"/>
      <c r="F37" s="270"/>
      <c r="G37" s="268"/>
    </row>
    <row r="38" spans="1:7" ht="16.5" customHeight="1">
      <c r="A38" s="268"/>
      <c r="B38" s="268"/>
      <c r="C38" s="268"/>
      <c r="D38" s="269"/>
      <c r="E38" s="234" t="s">
        <v>35</v>
      </c>
      <c r="F38" s="270"/>
      <c r="G38" s="268"/>
    </row>
    <row r="39" spans="1:7" ht="16.5" customHeight="1">
      <c r="A39" s="271"/>
      <c r="B39" s="271"/>
      <c r="C39" s="271"/>
      <c r="D39" s="272"/>
      <c r="E39" s="235" t="s">
        <v>33</v>
      </c>
      <c r="F39" s="245"/>
      <c r="G39" s="257"/>
    </row>
    <row r="40" spans="1:7" ht="16.5" customHeight="1">
      <c r="A40" s="258">
        <f>567353+210000+90000</f>
        <v>867353</v>
      </c>
      <c r="B40" s="258"/>
      <c r="C40" s="258">
        <f>567353+210000+90000</f>
        <v>867353</v>
      </c>
      <c r="D40" s="273">
        <f>148324+7259+142622+21549+29919+6643+8874+17686+89804+33804</f>
        <v>506484</v>
      </c>
      <c r="E40" s="231" t="s">
        <v>31</v>
      </c>
      <c r="F40" s="249" t="s">
        <v>532</v>
      </c>
      <c r="G40" s="273">
        <v>33804</v>
      </c>
    </row>
    <row r="41" spans="1:7" ht="16.5" customHeight="1">
      <c r="A41" s="258">
        <v>2934400</v>
      </c>
      <c r="B41" s="258"/>
      <c r="C41" s="258">
        <v>2934400</v>
      </c>
      <c r="D41" s="273">
        <f>243060+243060+243060+243060+243060+243060+239700+235860+235860+235860</f>
        <v>2405640</v>
      </c>
      <c r="E41" s="231" t="s">
        <v>341</v>
      </c>
      <c r="F41" s="249" t="s">
        <v>533</v>
      </c>
      <c r="G41" s="273">
        <v>235860</v>
      </c>
    </row>
    <row r="42" spans="1:7" ht="16.5" customHeight="1">
      <c r="A42" s="250">
        <f>2121400+1417500+250000+614000+20000</f>
        <v>4422900</v>
      </c>
      <c r="B42" s="250"/>
      <c r="C42" s="250">
        <f>2121400+1417500+250000+614000+20000</f>
        <v>4422900</v>
      </c>
      <c r="D42" s="273">
        <f>339580+339580+339580+339580+342414+340640+347740+346805+321589+316410</f>
        <v>3373918</v>
      </c>
      <c r="E42" s="231" t="s">
        <v>342</v>
      </c>
      <c r="F42" s="249" t="s">
        <v>534</v>
      </c>
      <c r="G42" s="273">
        <v>316410</v>
      </c>
    </row>
    <row r="43" spans="1:7" ht="16.5" customHeight="1">
      <c r="A43" s="274">
        <v>168000</v>
      </c>
      <c r="B43" s="274"/>
      <c r="C43" s="274">
        <v>168000</v>
      </c>
      <c r="D43" s="273">
        <f>12260+16735+12285+12285+12285+12285+12330+12330+12330+12330</f>
        <v>127455</v>
      </c>
      <c r="E43" s="231" t="s">
        <v>343</v>
      </c>
      <c r="F43" s="249" t="s">
        <v>534</v>
      </c>
      <c r="G43" s="273">
        <v>12330</v>
      </c>
    </row>
    <row r="44" spans="1:7" ht="16.5" customHeight="1">
      <c r="A44" s="258">
        <f>1449000+55000+15000</f>
        <v>1519000</v>
      </c>
      <c r="B44" s="258"/>
      <c r="C44" s="258">
        <f>1449000+55000+15000</f>
        <v>1519000</v>
      </c>
      <c r="D44" s="273">
        <f>103385+96785+104035+105785+96785+84458+129096+107685+107685+107685</f>
        <v>1043384</v>
      </c>
      <c r="E44" s="231" t="s">
        <v>344</v>
      </c>
      <c r="F44" s="249" t="s">
        <v>534</v>
      </c>
      <c r="G44" s="273">
        <v>107685</v>
      </c>
    </row>
    <row r="45" spans="1:7" ht="16.5" customHeight="1">
      <c r="A45" s="258">
        <f>1327000+261000+30000+340000-55000-15000-30000-15000+15000-20000-300000-20000-10000-90000-10000+10000-45000</f>
        <v>1373000</v>
      </c>
      <c r="B45" s="258"/>
      <c r="C45" s="258">
        <f>1327000+261000+30000+340000-55000-15000-30000-15000+15000-20000-300000-20000-10000-90000-10000+10000-45000</f>
        <v>1373000</v>
      </c>
      <c r="D45" s="273">
        <f>27320+24860+20100+23900+41250+18100+26050+38460+22661+35050</f>
        <v>277751</v>
      </c>
      <c r="E45" s="231" t="s">
        <v>6</v>
      </c>
      <c r="F45" s="249" t="s">
        <v>535</v>
      </c>
      <c r="G45" s="273">
        <v>35050</v>
      </c>
    </row>
    <row r="46" spans="1:7" ht="16.5" customHeight="1">
      <c r="A46" s="258">
        <f>1365000+240000+688400+505000+445000+120000+430000+80000-30000+30000-30000+30000+45000-300000</f>
        <v>3618400</v>
      </c>
      <c r="B46" s="258"/>
      <c r="C46" s="258">
        <f>1365000+240000+688400+505000+445000+120000+430000+80000-30000+30000-30000+30000+45000-300000</f>
        <v>3618400</v>
      </c>
      <c r="D46" s="273">
        <f>51452+194111.05+89569+227493+444607+445308.05+146189.65+297587.2+131316+94025.45</f>
        <v>2121658.4</v>
      </c>
      <c r="E46" s="231" t="s">
        <v>7</v>
      </c>
      <c r="F46" s="249" t="s">
        <v>371</v>
      </c>
      <c r="G46" s="273">
        <v>94025.45</v>
      </c>
    </row>
    <row r="47" spans="1:7" ht="16.5" customHeight="1">
      <c r="A47" s="258">
        <f>525000+1171920+20000+85000+30000+40000+20000+10000</f>
        <v>1901920</v>
      </c>
      <c r="B47" s="258"/>
      <c r="C47" s="258">
        <f>525000+1171920+20000+85000+30000+40000+20000+10000</f>
        <v>1901920</v>
      </c>
      <c r="D47" s="273">
        <f>65582+36630+111261.2+133925.4+13780+94666.4+330651.52+15000+51479.6+212265.16</f>
        <v>1065241.28</v>
      </c>
      <c r="E47" s="231" t="s">
        <v>8</v>
      </c>
      <c r="F47" s="249" t="s">
        <v>536</v>
      </c>
      <c r="G47" s="273">
        <v>212265.16</v>
      </c>
    </row>
    <row r="48" spans="1:7" ht="16.5" customHeight="1">
      <c r="A48" s="258">
        <f>286000+70000</f>
        <v>356000</v>
      </c>
      <c r="B48" s="258"/>
      <c r="C48" s="258">
        <f>286000+70000</f>
        <v>356000</v>
      </c>
      <c r="D48" s="273">
        <f>20467.57+10526.7+17432.1+26219.71+13920+24157.01+13746.12+21262.97+54654.38+8909.38</f>
        <v>211295.94</v>
      </c>
      <c r="E48" s="231" t="s">
        <v>9</v>
      </c>
      <c r="F48" s="249" t="s">
        <v>537</v>
      </c>
      <c r="G48" s="273">
        <v>8909.38</v>
      </c>
    </row>
    <row r="49" spans="1:7" ht="16.5" customHeight="1">
      <c r="A49" s="258">
        <f>49900+105000+83000+50000</f>
        <v>287900</v>
      </c>
      <c r="B49" s="258"/>
      <c r="C49" s="258">
        <f>49900+105000+83000+50000</f>
        <v>287900</v>
      </c>
      <c r="D49" s="273">
        <f>35000+13060.45+20000+5350+6238.1+83270</f>
        <v>162918.55</v>
      </c>
      <c r="E49" s="231" t="s">
        <v>54</v>
      </c>
      <c r="F49" s="249" t="s">
        <v>538</v>
      </c>
      <c r="G49" s="273">
        <v>83270</v>
      </c>
    </row>
    <row r="50" spans="1:7" ht="16.5" customHeight="1">
      <c r="A50" s="258">
        <f>105000+2276977</f>
        <v>2381977</v>
      </c>
      <c r="B50" s="258"/>
      <c r="C50" s="258">
        <f>105000+2276977</f>
        <v>2381977</v>
      </c>
      <c r="D50" s="273">
        <f>99120+96250</f>
        <v>195370</v>
      </c>
      <c r="E50" s="231" t="s">
        <v>55</v>
      </c>
      <c r="F50" s="249" t="s">
        <v>353</v>
      </c>
      <c r="G50" s="273">
        <v>96250</v>
      </c>
    </row>
    <row r="51" spans="1:7" ht="16.5" customHeight="1">
      <c r="A51" s="258">
        <f>81000+2031000+180000+300000</f>
        <v>2592000</v>
      </c>
      <c r="B51" s="258"/>
      <c r="C51" s="258">
        <f>81000+2031000+180000+300000</f>
        <v>2592000</v>
      </c>
      <c r="D51" s="273">
        <f>400800+11000+250800+411640+673920+361440</f>
        <v>2109600</v>
      </c>
      <c r="E51" s="231" t="s">
        <v>32</v>
      </c>
      <c r="F51" s="249" t="s">
        <v>539</v>
      </c>
      <c r="G51" s="273">
        <v>361440</v>
      </c>
    </row>
    <row r="52" spans="1:7" ht="16.5" customHeight="1">
      <c r="A52" s="265">
        <f>SUM(A40:A51)</f>
        <v>22422850</v>
      </c>
      <c r="B52" s="265"/>
      <c r="C52" s="265">
        <f>SUM(C40:C51)</f>
        <v>22422850</v>
      </c>
      <c r="D52" s="275">
        <f>SUM(D40:D51)</f>
        <v>13600716.17</v>
      </c>
      <c r="E52" s="239" t="s">
        <v>19</v>
      </c>
      <c r="F52" s="249"/>
      <c r="G52" s="265">
        <f>SUM(G40:G51)</f>
        <v>1597298.99</v>
      </c>
    </row>
    <row r="53" spans="1:7" ht="16.5" customHeight="1">
      <c r="A53" s="258"/>
      <c r="B53" s="258"/>
      <c r="C53" s="258"/>
      <c r="D53" s="273"/>
      <c r="E53" s="232" t="s">
        <v>516</v>
      </c>
      <c r="F53" s="249"/>
      <c r="G53" s="258"/>
    </row>
    <row r="54" spans="1:7" ht="16.5" customHeight="1">
      <c r="A54" s="258"/>
      <c r="B54" s="258"/>
      <c r="C54" s="258"/>
      <c r="D54" s="273">
        <f>4049000+573900+570800+569100</f>
        <v>5762800</v>
      </c>
      <c r="E54" s="233" t="s">
        <v>433</v>
      </c>
      <c r="F54" s="249" t="s">
        <v>436</v>
      </c>
      <c r="G54" s="273">
        <v>569100</v>
      </c>
    </row>
    <row r="55" spans="1:7" ht="16.5" customHeight="1">
      <c r="A55" s="258"/>
      <c r="B55" s="258"/>
      <c r="C55" s="258"/>
      <c r="D55" s="273">
        <f>1036000+146400+144800+57600</f>
        <v>1384800</v>
      </c>
      <c r="E55" s="233" t="s">
        <v>434</v>
      </c>
      <c r="F55" s="249" t="s">
        <v>436</v>
      </c>
      <c r="G55" s="273">
        <v>57600</v>
      </c>
    </row>
    <row r="56" spans="1:7" ht="16.5" customHeight="1">
      <c r="A56" s="258"/>
      <c r="B56" s="258"/>
      <c r="C56" s="258"/>
      <c r="D56" s="273">
        <f>46836+15800+15800+15800</f>
        <v>94236</v>
      </c>
      <c r="E56" s="291" t="s">
        <v>494</v>
      </c>
      <c r="F56" s="249" t="s">
        <v>436</v>
      </c>
      <c r="G56" s="273">
        <v>15800</v>
      </c>
    </row>
    <row r="57" spans="1:7" ht="16.5" customHeight="1">
      <c r="A57" s="258"/>
      <c r="B57" s="258"/>
      <c r="C57" s="258"/>
      <c r="D57" s="273">
        <f>36000+18000+18000+47400-12411+9000+9000+9000</f>
        <v>133989</v>
      </c>
      <c r="E57" s="233" t="s">
        <v>452</v>
      </c>
      <c r="F57" s="249" t="s">
        <v>436</v>
      </c>
      <c r="G57" s="273">
        <v>9000</v>
      </c>
    </row>
    <row r="58" spans="1:7" ht="16.5" customHeight="1">
      <c r="A58" s="258"/>
      <c r="B58" s="258"/>
      <c r="C58" s="258"/>
      <c r="D58" s="273">
        <f>1800+900+900+900+1470-620+450+450+450</f>
        <v>6700</v>
      </c>
      <c r="E58" s="291" t="s">
        <v>453</v>
      </c>
      <c r="F58" s="249" t="s">
        <v>436</v>
      </c>
      <c r="G58" s="273">
        <v>450</v>
      </c>
    </row>
    <row r="59" spans="1:7" ht="16.5" customHeight="1">
      <c r="A59" s="258"/>
      <c r="B59" s="258"/>
      <c r="C59" s="258"/>
      <c r="D59" s="273">
        <f>71365</f>
        <v>71365</v>
      </c>
      <c r="E59" s="291" t="s">
        <v>438</v>
      </c>
      <c r="F59" s="249" t="s">
        <v>436</v>
      </c>
      <c r="G59" s="273">
        <v>0</v>
      </c>
    </row>
    <row r="60" spans="1:7" ht="16.5" customHeight="1">
      <c r="A60" s="258"/>
      <c r="B60" s="258"/>
      <c r="C60" s="258"/>
      <c r="D60" s="273">
        <v>21000</v>
      </c>
      <c r="E60" s="291" t="s">
        <v>562</v>
      </c>
      <c r="F60" s="249" t="s">
        <v>436</v>
      </c>
      <c r="G60" s="273">
        <v>21000</v>
      </c>
    </row>
    <row r="61" spans="1:7" ht="16.5" customHeight="1">
      <c r="A61" s="258"/>
      <c r="B61" s="258"/>
      <c r="C61" s="258"/>
      <c r="D61" s="273">
        <v>15000</v>
      </c>
      <c r="E61" s="291" t="s">
        <v>563</v>
      </c>
      <c r="F61" s="249" t="s">
        <v>436</v>
      </c>
      <c r="G61" s="273">
        <v>15000</v>
      </c>
    </row>
    <row r="62" spans="1:7" ht="16.5" customHeight="1">
      <c r="A62" s="258"/>
      <c r="B62" s="258"/>
      <c r="C62" s="258"/>
      <c r="D62" s="273">
        <f>669000</f>
        <v>669000</v>
      </c>
      <c r="E62" s="231" t="s">
        <v>500</v>
      </c>
      <c r="F62" s="249"/>
      <c r="G62" s="273">
        <v>0</v>
      </c>
    </row>
    <row r="63" spans="1:7" ht="16.5" customHeight="1">
      <c r="A63" s="258"/>
      <c r="B63" s="258"/>
      <c r="C63" s="258"/>
      <c r="D63" s="275">
        <f>SUM(D54:D62)</f>
        <v>8158890</v>
      </c>
      <c r="E63" s="239"/>
      <c r="F63" s="249"/>
      <c r="G63" s="275">
        <f>SUM(G54:G62)</f>
        <v>687950</v>
      </c>
    </row>
    <row r="64" spans="1:7" ht="15.75" customHeight="1">
      <c r="A64" s="258"/>
      <c r="B64" s="258"/>
      <c r="C64" s="258"/>
      <c r="D64" s="273">
        <f>500+62500+1000+1000+436830+99500+12100+187700+22200+16700</f>
        <v>840030</v>
      </c>
      <c r="E64" s="231" t="s">
        <v>498</v>
      </c>
      <c r="F64" s="249" t="s">
        <v>540</v>
      </c>
      <c r="G64" s="258">
        <v>16700</v>
      </c>
    </row>
    <row r="65" spans="1:7" ht="16.5" customHeight="1">
      <c r="A65" s="258"/>
      <c r="B65" s="258"/>
      <c r="C65" s="258"/>
      <c r="D65" s="260">
        <f>694800+673900+172428+673600+19900+587500+530500+572900</f>
        <v>3925528</v>
      </c>
      <c r="E65" s="231" t="s">
        <v>120</v>
      </c>
      <c r="F65" s="249" t="s">
        <v>547</v>
      </c>
      <c r="G65" s="258">
        <v>572900</v>
      </c>
    </row>
    <row r="66" spans="1:7" ht="16.5" customHeight="1">
      <c r="A66" s="258"/>
      <c r="B66" s="258"/>
      <c r="C66" s="258"/>
      <c r="D66" s="273">
        <f>78000+266000+96000+183000+60000+46000</f>
        <v>729000</v>
      </c>
      <c r="E66" s="231" t="s">
        <v>545</v>
      </c>
      <c r="F66" s="249" t="s">
        <v>542</v>
      </c>
      <c r="G66" s="273">
        <v>0</v>
      </c>
    </row>
    <row r="67" spans="1:7" ht="16.5" customHeight="1">
      <c r="A67" s="258"/>
      <c r="B67" s="258"/>
      <c r="C67" s="258"/>
      <c r="D67" s="273">
        <f>41839.36+323778.5+863259.9+22706.89+75710.85+71461.99+55857.15+46969.4+66331.48+22855.78</f>
        <v>1590771.2999999998</v>
      </c>
      <c r="E67" s="231" t="s">
        <v>137</v>
      </c>
      <c r="F67" s="249" t="s">
        <v>548</v>
      </c>
      <c r="G67" s="273">
        <v>22855.78</v>
      </c>
    </row>
    <row r="68" spans="1:7" ht="16.5" customHeight="1">
      <c r="A68" s="258"/>
      <c r="B68" s="258"/>
      <c r="C68" s="258"/>
      <c r="D68" s="273">
        <f>185510.52+340000</f>
        <v>525510.52</v>
      </c>
      <c r="E68" s="231" t="s">
        <v>499</v>
      </c>
      <c r="F68" s="249" t="s">
        <v>549</v>
      </c>
      <c r="G68" s="273">
        <v>0</v>
      </c>
    </row>
    <row r="69" spans="1:7" ht="16.5" customHeight="1">
      <c r="A69" s="258"/>
      <c r="B69" s="258"/>
      <c r="C69" s="258"/>
      <c r="D69" s="273">
        <f>1240865</f>
        <v>1240865</v>
      </c>
      <c r="E69" s="231" t="s">
        <v>424</v>
      </c>
      <c r="F69" s="249"/>
      <c r="G69" s="273">
        <v>0</v>
      </c>
    </row>
    <row r="70" spans="1:7" ht="16.5" customHeight="1">
      <c r="A70" s="258"/>
      <c r="B70" s="258"/>
      <c r="C70" s="258"/>
      <c r="D70" s="273">
        <f>99180+2342000+369000+118000+111600+1060900</f>
        <v>4100680</v>
      </c>
      <c r="E70" s="231" t="s">
        <v>10</v>
      </c>
      <c r="F70" s="249" t="s">
        <v>535</v>
      </c>
      <c r="G70" s="273">
        <v>1060900</v>
      </c>
    </row>
    <row r="71" spans="1:7" ht="16.5" customHeight="1">
      <c r="A71" s="258"/>
      <c r="B71" s="258"/>
      <c r="C71" s="258"/>
      <c r="D71" s="273">
        <f>28000+23544+2458.2+800+350</f>
        <v>55152.2</v>
      </c>
      <c r="E71" s="233" t="s">
        <v>479</v>
      </c>
      <c r="F71" s="249"/>
      <c r="G71" s="273">
        <v>350</v>
      </c>
    </row>
    <row r="72" spans="1:7" ht="16.5" customHeight="1">
      <c r="A72" s="258"/>
      <c r="B72" s="258"/>
      <c r="C72" s="258"/>
      <c r="D72" s="263">
        <f>SUM(D64:D71)</f>
        <v>13007537.02</v>
      </c>
      <c r="E72" s="239" t="s">
        <v>19</v>
      </c>
      <c r="F72" s="249"/>
      <c r="G72" s="265">
        <f>SUM(G64:G71)</f>
        <v>1673705.78</v>
      </c>
    </row>
    <row r="73" spans="1:7" ht="16.5" customHeight="1">
      <c r="A73" s="258"/>
      <c r="B73" s="258"/>
      <c r="C73" s="258"/>
      <c r="D73" s="257">
        <f>SUM(D52,D63,D72)</f>
        <v>34767143.19</v>
      </c>
      <c r="E73" s="239" t="s">
        <v>517</v>
      </c>
      <c r="F73" s="249"/>
      <c r="G73" s="257">
        <f>SUM(G52,G63,G72)</f>
        <v>3958954.7700000005</v>
      </c>
    </row>
    <row r="74" spans="1:7" ht="16.5" customHeight="1">
      <c r="A74" s="258"/>
      <c r="B74" s="258"/>
      <c r="C74" s="258"/>
      <c r="D74" s="263">
        <f>D36-D73</f>
        <v>2653501.88000001</v>
      </c>
      <c r="E74" s="239" t="s">
        <v>518</v>
      </c>
      <c r="F74" s="249"/>
      <c r="G74" s="265">
        <f>G36-G73</f>
        <v>153711.86999999965</v>
      </c>
    </row>
    <row r="75" spans="1:7" ht="16.5" customHeight="1" thickBot="1">
      <c r="A75" s="276"/>
      <c r="B75" s="258"/>
      <c r="C75" s="258"/>
      <c r="D75" s="277">
        <f>D8+D74</f>
        <v>35568386.010000005</v>
      </c>
      <c r="E75" s="237" t="s">
        <v>519</v>
      </c>
      <c r="F75" s="278"/>
      <c r="G75" s="277">
        <f>G8+G74</f>
        <v>35568386.01</v>
      </c>
    </row>
    <row r="76" spans="1:7" ht="16.5" customHeight="1" thickTop="1">
      <c r="A76" s="268"/>
      <c r="B76" s="268"/>
      <c r="C76" s="268"/>
      <c r="D76" s="269"/>
      <c r="E76" s="236"/>
      <c r="F76" s="270"/>
      <c r="G76" s="269"/>
    </row>
    <row r="77" spans="1:7" ht="16.5" customHeight="1">
      <c r="A77" s="268"/>
      <c r="B77" s="268"/>
      <c r="C77" s="268"/>
      <c r="D77" s="269"/>
      <c r="E77" s="236"/>
      <c r="F77" s="270"/>
      <c r="G77" s="269"/>
    </row>
    <row r="78" spans="1:7" ht="16.5" customHeight="1">
      <c r="A78" s="268"/>
      <c r="B78" s="268"/>
      <c r="C78" s="268"/>
      <c r="D78" s="269"/>
      <c r="E78" s="236"/>
      <c r="F78" s="270"/>
      <c r="G78" s="269"/>
    </row>
    <row r="79" spans="1:7" ht="16.5" customHeight="1">
      <c r="A79" s="268"/>
      <c r="B79" s="268"/>
      <c r="C79" s="268"/>
      <c r="D79" s="269"/>
      <c r="E79" s="236"/>
      <c r="F79" s="270"/>
      <c r="G79" s="269"/>
    </row>
    <row r="80" spans="1:7" ht="16.5" customHeight="1">
      <c r="A80" s="268"/>
      <c r="B80" s="268"/>
      <c r="C80" s="268"/>
      <c r="D80" s="269"/>
      <c r="E80" s="236"/>
      <c r="F80" s="270"/>
      <c r="G80" s="269"/>
    </row>
    <row r="81" spans="1:7" ht="16.5" customHeight="1">
      <c r="A81" s="268"/>
      <c r="B81" s="268"/>
      <c r="C81" s="268"/>
      <c r="D81" s="269"/>
      <c r="E81" s="297"/>
      <c r="F81" s="270"/>
      <c r="G81" s="269"/>
    </row>
    <row r="82" spans="1:7" ht="16.5" customHeight="1">
      <c r="A82" s="268"/>
      <c r="B82" s="268"/>
      <c r="C82" s="268"/>
      <c r="D82" s="269"/>
      <c r="E82" s="236"/>
      <c r="F82" s="270"/>
      <c r="G82" s="269"/>
    </row>
    <row r="83" spans="1:7" ht="16.5" customHeight="1">
      <c r="A83" s="268"/>
      <c r="B83" s="268"/>
      <c r="C83" s="268"/>
      <c r="D83" s="269"/>
      <c r="E83" s="236"/>
      <c r="F83" s="270"/>
      <c r="G83" s="269"/>
    </row>
    <row r="84" spans="1:7" ht="16.5" customHeight="1">
      <c r="A84" s="268"/>
      <c r="B84" s="268"/>
      <c r="C84" s="268"/>
      <c r="D84" s="269"/>
      <c r="E84" s="236"/>
      <c r="F84" s="270"/>
      <c r="G84" s="269"/>
    </row>
    <row r="85" spans="1:7" ht="16.5" customHeight="1">
      <c r="A85" s="268"/>
      <c r="B85" s="268"/>
      <c r="C85" s="268"/>
      <c r="D85" s="269"/>
      <c r="E85" s="236"/>
      <c r="F85" s="270"/>
      <c r="G85" s="269"/>
    </row>
    <row r="86" spans="1:7" ht="16.5" customHeight="1">
      <c r="A86" s="268"/>
      <c r="B86" s="268"/>
      <c r="C86" s="268"/>
      <c r="D86" s="269"/>
      <c r="E86" s="236"/>
      <c r="F86" s="270"/>
      <c r="G86" s="269"/>
    </row>
    <row r="87" spans="1:7" ht="16.5" customHeight="1">
      <c r="A87" s="268"/>
      <c r="B87" s="268"/>
      <c r="C87" s="268"/>
      <c r="D87" s="269"/>
      <c r="E87" s="236"/>
      <c r="F87" s="270"/>
      <c r="G87" s="269"/>
    </row>
    <row r="88" spans="1:7" ht="16.5" customHeight="1">
      <c r="A88" s="231" t="s">
        <v>12</v>
      </c>
      <c r="B88" s="231"/>
      <c r="C88" s="231"/>
      <c r="D88" s="279"/>
      <c r="E88" s="238"/>
      <c r="F88" s="238"/>
      <c r="G88" s="238"/>
    </row>
    <row r="89" spans="1:7" ht="16.5" customHeight="1">
      <c r="A89" s="280" t="s">
        <v>13</v>
      </c>
      <c r="B89" s="280"/>
      <c r="C89" s="280"/>
      <c r="D89" s="279"/>
      <c r="E89" s="238"/>
      <c r="F89" s="238"/>
      <c r="G89" s="281"/>
    </row>
    <row r="90" spans="1:7" ht="16.5" customHeight="1">
      <c r="A90" s="280"/>
      <c r="B90" s="280"/>
      <c r="C90" s="280"/>
      <c r="D90" s="279"/>
      <c r="E90" s="238"/>
      <c r="F90" s="238"/>
      <c r="G90" s="281"/>
    </row>
    <row r="91" spans="1:7" ht="16.5" customHeight="1">
      <c r="A91" s="320" t="s">
        <v>16</v>
      </c>
      <c r="B91" s="320"/>
      <c r="C91" s="320"/>
      <c r="D91" s="320"/>
      <c r="E91" s="320"/>
      <c r="F91" s="320"/>
      <c r="G91" s="320"/>
    </row>
    <row r="92" spans="1:7" ht="16.5" customHeight="1">
      <c r="A92" s="320" t="s">
        <v>91</v>
      </c>
      <c r="B92" s="320"/>
      <c r="C92" s="320"/>
      <c r="D92" s="320"/>
      <c r="E92" s="320"/>
      <c r="F92" s="320"/>
      <c r="G92" s="320"/>
    </row>
    <row r="93" spans="1:7" ht="16.5" customHeight="1">
      <c r="A93" s="239"/>
      <c r="B93" s="239"/>
      <c r="C93" s="239"/>
      <c r="D93" s="239"/>
      <c r="E93" s="239"/>
      <c r="F93" s="239"/>
      <c r="G93" s="239"/>
    </row>
    <row r="94" spans="1:7" ht="16.5" customHeight="1">
      <c r="A94" s="320" t="s">
        <v>14</v>
      </c>
      <c r="B94" s="320"/>
      <c r="C94" s="320"/>
      <c r="D94" s="320"/>
      <c r="E94" s="320"/>
      <c r="F94" s="320"/>
      <c r="G94" s="320"/>
    </row>
    <row r="95" spans="1:7" ht="16.5" customHeight="1">
      <c r="A95" s="239"/>
      <c r="B95" s="239"/>
      <c r="C95" s="239"/>
      <c r="D95" s="239"/>
      <c r="E95" s="239"/>
      <c r="F95" s="239"/>
      <c r="G95" s="239"/>
    </row>
    <row r="96" spans="1:7" ht="16.5" customHeight="1">
      <c r="A96" s="320" t="s">
        <v>127</v>
      </c>
      <c r="B96" s="320"/>
      <c r="C96" s="320"/>
      <c r="D96" s="320"/>
      <c r="E96" s="320"/>
      <c r="F96" s="320"/>
      <c r="G96" s="320"/>
    </row>
    <row r="97" spans="1:7" ht="16.5" customHeight="1">
      <c r="A97" s="320" t="s">
        <v>15</v>
      </c>
      <c r="B97" s="320"/>
      <c r="C97" s="320"/>
      <c r="D97" s="320"/>
      <c r="E97" s="320"/>
      <c r="F97" s="320"/>
      <c r="G97" s="320"/>
    </row>
    <row r="98" spans="1:7" ht="16.5" customHeight="1">
      <c r="A98" s="315">
        <v>240543</v>
      </c>
      <c r="B98" s="315"/>
      <c r="C98" s="315"/>
      <c r="D98" s="315"/>
      <c r="E98" s="315"/>
      <c r="F98" s="315"/>
      <c r="G98" s="315"/>
    </row>
    <row r="99" spans="1:7" ht="18" customHeight="1">
      <c r="A99" s="240"/>
      <c r="B99" s="240"/>
      <c r="C99" s="240"/>
      <c r="D99" s="240"/>
      <c r="E99" s="240"/>
      <c r="F99" s="240"/>
      <c r="G99" s="240"/>
    </row>
    <row r="100" spans="1:7" ht="18" customHeight="1">
      <c r="A100" s="240"/>
      <c r="B100" s="240"/>
      <c r="C100" s="240"/>
      <c r="D100" s="240"/>
      <c r="E100" s="240"/>
      <c r="F100" s="240"/>
      <c r="G100" s="240"/>
    </row>
    <row r="101" spans="1:7" ht="18" customHeight="1">
      <c r="A101" s="240"/>
      <c r="B101" s="240"/>
      <c r="C101" s="240"/>
      <c r="D101" s="240"/>
      <c r="E101" s="240"/>
      <c r="F101" s="240"/>
      <c r="G101" s="240"/>
    </row>
    <row r="102" spans="1:7" ht="18" customHeight="1">
      <c r="A102" s="240"/>
      <c r="B102" s="240"/>
      <c r="C102" s="240"/>
      <c r="D102" s="240"/>
      <c r="E102" s="240"/>
      <c r="F102" s="240"/>
      <c r="G102" s="240"/>
    </row>
    <row r="103" spans="1:7" ht="18" customHeight="1">
      <c r="A103" s="240"/>
      <c r="B103" s="240"/>
      <c r="C103" s="240"/>
      <c r="D103" s="240"/>
      <c r="E103" s="240"/>
      <c r="F103" s="240"/>
      <c r="G103" s="240"/>
    </row>
    <row r="104" spans="1:7" ht="18" customHeight="1">
      <c r="A104" s="240"/>
      <c r="B104" s="240"/>
      <c r="C104" s="240"/>
      <c r="D104" s="240"/>
      <c r="E104" s="240"/>
      <c r="F104" s="240"/>
      <c r="G104" s="240"/>
    </row>
    <row r="105" spans="1:7" ht="18" customHeight="1">
      <c r="A105" s="240"/>
      <c r="B105" s="240"/>
      <c r="C105" s="240"/>
      <c r="D105" s="240"/>
      <c r="E105" s="240"/>
      <c r="F105" s="240"/>
      <c r="G105" s="240"/>
    </row>
    <row r="106" spans="1:7" ht="18" customHeight="1">
      <c r="A106" s="240"/>
      <c r="B106" s="240"/>
      <c r="C106" s="240"/>
      <c r="D106" s="240"/>
      <c r="E106" s="240"/>
      <c r="F106" s="240"/>
      <c r="G106" s="240"/>
    </row>
    <row r="107" spans="1:7" ht="18" customHeight="1">
      <c r="A107" s="240"/>
      <c r="B107" s="240"/>
      <c r="C107" s="240"/>
      <c r="D107" s="240"/>
      <c r="E107" s="240"/>
      <c r="F107" s="240"/>
      <c r="G107" s="240"/>
    </row>
    <row r="108" spans="1:7" ht="18" customHeight="1">
      <c r="A108" s="240"/>
      <c r="B108" s="240"/>
      <c r="C108" s="240"/>
      <c r="D108" s="240"/>
      <c r="E108" s="240"/>
      <c r="F108" s="240"/>
      <c r="G108" s="240"/>
    </row>
    <row r="109" spans="1:7" ht="18" customHeight="1">
      <c r="A109" s="240"/>
      <c r="B109" s="240"/>
      <c r="C109" s="240"/>
      <c r="D109" s="240"/>
      <c r="E109" s="240"/>
      <c r="F109" s="240"/>
      <c r="G109" s="240"/>
    </row>
    <row r="110" spans="1:7" ht="18" customHeight="1">
      <c r="A110" s="240"/>
      <c r="B110" s="240"/>
      <c r="C110" s="240"/>
      <c r="D110" s="240"/>
      <c r="E110" s="240"/>
      <c r="F110" s="240"/>
      <c r="G110" s="240"/>
    </row>
    <row r="111" spans="1:7" ht="18" customHeight="1">
      <c r="A111" s="240"/>
      <c r="B111" s="240"/>
      <c r="C111" s="240"/>
      <c r="D111" s="240"/>
      <c r="E111" s="240"/>
      <c r="F111" s="240"/>
      <c r="G111" s="240"/>
    </row>
    <row r="112" spans="1:7" ht="18" customHeight="1">
      <c r="A112" s="240"/>
      <c r="B112" s="240"/>
      <c r="C112" s="240"/>
      <c r="D112" s="240"/>
      <c r="E112" s="240"/>
      <c r="F112" s="240"/>
      <c r="G112" s="240"/>
    </row>
    <row r="113" spans="1:7" ht="18" customHeight="1">
      <c r="A113" s="240"/>
      <c r="B113" s="240"/>
      <c r="C113" s="240"/>
      <c r="D113" s="240"/>
      <c r="E113" s="240"/>
      <c r="F113" s="240"/>
      <c r="G113" s="240"/>
    </row>
    <row r="114" spans="1:7" ht="18" customHeight="1">
      <c r="A114" s="240"/>
      <c r="B114" s="240"/>
      <c r="C114" s="240"/>
      <c r="D114" s="240"/>
      <c r="E114" s="240"/>
      <c r="F114" s="240"/>
      <c r="G114" s="240"/>
    </row>
    <row r="115" spans="1:7" ht="18" customHeight="1">
      <c r="A115" s="240"/>
      <c r="B115" s="240"/>
      <c r="C115" s="240"/>
      <c r="D115" s="240"/>
      <c r="E115" s="240"/>
      <c r="F115" s="240"/>
      <c r="G115" s="240"/>
    </row>
    <row r="116" spans="1:7" ht="18" customHeight="1">
      <c r="A116" s="240"/>
      <c r="B116" s="240"/>
      <c r="C116" s="240"/>
      <c r="D116" s="240"/>
      <c r="E116" s="240"/>
      <c r="F116" s="240"/>
      <c r="G116" s="240"/>
    </row>
    <row r="117" spans="1:7" ht="18" customHeight="1">
      <c r="A117" s="240"/>
      <c r="B117" s="240"/>
      <c r="C117" s="240"/>
      <c r="D117" s="240"/>
      <c r="E117" s="240"/>
      <c r="F117" s="240"/>
      <c r="G117" s="240"/>
    </row>
    <row r="118" spans="1:7" ht="18" customHeight="1">
      <c r="A118" s="240"/>
      <c r="B118" s="240"/>
      <c r="C118" s="240"/>
      <c r="D118" s="240"/>
      <c r="E118" s="240"/>
      <c r="F118" s="240"/>
      <c r="G118" s="240"/>
    </row>
    <row r="119" spans="1:7" ht="18" customHeight="1">
      <c r="A119" s="240"/>
      <c r="B119" s="240"/>
      <c r="C119" s="240"/>
      <c r="D119" s="240"/>
      <c r="E119" s="240"/>
      <c r="F119" s="240"/>
      <c r="G119" s="240"/>
    </row>
    <row r="120" spans="1:7" ht="18" customHeight="1">
      <c r="A120" s="240"/>
      <c r="B120" s="240"/>
      <c r="C120" s="240"/>
      <c r="D120" s="240"/>
      <c r="E120" s="240"/>
      <c r="F120" s="240"/>
      <c r="G120" s="240"/>
    </row>
    <row r="121" spans="1:7" ht="18" customHeight="1">
      <c r="A121" s="240"/>
      <c r="B121" s="240"/>
      <c r="C121" s="240"/>
      <c r="D121" s="240"/>
      <c r="E121" s="240"/>
      <c r="F121" s="240"/>
      <c r="G121" s="240"/>
    </row>
    <row r="122" spans="1:7" ht="18" customHeight="1">
      <c r="A122" s="240"/>
      <c r="B122" s="240"/>
      <c r="C122" s="240"/>
      <c r="D122" s="240"/>
      <c r="E122" s="240"/>
      <c r="F122" s="240"/>
      <c r="G122" s="240"/>
    </row>
    <row r="123" spans="1:7" ht="18" customHeight="1">
      <c r="A123" s="240"/>
      <c r="B123" s="240"/>
      <c r="C123" s="240"/>
      <c r="D123" s="240"/>
      <c r="E123" s="240"/>
      <c r="F123" s="240"/>
      <c r="G123" s="240"/>
    </row>
    <row r="124" spans="1:7" ht="18" customHeight="1">
      <c r="A124" s="240"/>
      <c r="B124" s="240"/>
      <c r="C124" s="240"/>
      <c r="D124" s="240"/>
      <c r="E124" s="240"/>
      <c r="F124" s="240"/>
      <c r="G124" s="240"/>
    </row>
    <row r="125" spans="1:7" ht="18" customHeight="1">
      <c r="A125" s="240"/>
      <c r="B125" s="240"/>
      <c r="C125" s="240"/>
      <c r="D125" s="240"/>
      <c r="E125" s="240"/>
      <c r="F125" s="240"/>
      <c r="G125" s="240"/>
    </row>
    <row r="126" spans="1:7" ht="18" customHeight="1">
      <c r="A126" s="240"/>
      <c r="B126" s="240"/>
      <c r="C126" s="240"/>
      <c r="D126" s="240"/>
      <c r="E126" s="240"/>
      <c r="F126" s="240"/>
      <c r="G126" s="240"/>
    </row>
    <row r="127" spans="1:7" ht="18" customHeight="1">
      <c r="A127" s="240"/>
      <c r="B127" s="240"/>
      <c r="C127" s="240"/>
      <c r="D127" s="240"/>
      <c r="E127" s="240"/>
      <c r="F127" s="240"/>
      <c r="G127" s="240"/>
    </row>
    <row r="128" spans="1:7" ht="18" customHeight="1">
      <c r="A128" s="240"/>
      <c r="B128" s="240"/>
      <c r="C128" s="240"/>
      <c r="D128" s="240"/>
      <c r="E128" s="240"/>
      <c r="F128" s="240"/>
      <c r="G128" s="240"/>
    </row>
    <row r="129" spans="1:7" ht="18" customHeight="1">
      <c r="A129" s="315" t="s">
        <v>64</v>
      </c>
      <c r="B129" s="315"/>
      <c r="C129" s="315"/>
      <c r="D129" s="315"/>
      <c r="E129" s="315"/>
      <c r="F129" s="315"/>
      <c r="G129" s="315"/>
    </row>
    <row r="130" spans="1:7" ht="19.5" customHeight="1">
      <c r="A130" s="316" t="s">
        <v>525</v>
      </c>
      <c r="B130" s="316"/>
      <c r="C130" s="316"/>
      <c r="D130" s="316"/>
      <c r="E130" s="316"/>
      <c r="F130" s="316"/>
      <c r="G130" s="316"/>
    </row>
    <row r="131" spans="1:7" ht="19.5" customHeight="1">
      <c r="A131" s="316" t="s">
        <v>559</v>
      </c>
      <c r="B131" s="316"/>
      <c r="C131" s="316"/>
      <c r="D131" s="316"/>
      <c r="E131" s="316"/>
      <c r="F131" s="316"/>
      <c r="G131" s="316"/>
    </row>
    <row r="132" spans="1:7" ht="19.5" customHeight="1">
      <c r="A132" s="317" t="s">
        <v>526</v>
      </c>
      <c r="B132" s="317"/>
      <c r="C132" s="317"/>
      <c r="D132" s="317"/>
      <c r="E132" s="317"/>
      <c r="F132" s="317"/>
      <c r="G132" s="317"/>
    </row>
    <row r="133" spans="1:7" ht="19.5" customHeight="1">
      <c r="A133" s="285"/>
      <c r="B133" s="285"/>
      <c r="C133" s="285"/>
      <c r="D133" s="285"/>
      <c r="E133" s="285"/>
      <c r="F133" s="285"/>
      <c r="G133" s="241" t="s">
        <v>70</v>
      </c>
    </row>
    <row r="134" spans="1:7" ht="19.5" customHeight="1">
      <c r="A134" s="318" t="s">
        <v>129</v>
      </c>
      <c r="B134" s="318"/>
      <c r="C134" s="318"/>
      <c r="D134" s="318"/>
      <c r="E134" s="241"/>
      <c r="F134" s="241"/>
      <c r="G134" s="237">
        <v>15641.78</v>
      </c>
    </row>
    <row r="135" spans="1:7" ht="19.5" customHeight="1">
      <c r="A135" s="318" t="s">
        <v>17</v>
      </c>
      <c r="B135" s="318"/>
      <c r="C135" s="318"/>
      <c r="D135" s="318"/>
      <c r="E135" s="241"/>
      <c r="F135" s="241"/>
      <c r="G135" s="237">
        <v>37870</v>
      </c>
    </row>
    <row r="136" spans="1:7" ht="19.5" customHeight="1">
      <c r="A136" s="242" t="s">
        <v>376</v>
      </c>
      <c r="B136" s="242"/>
      <c r="C136" s="242"/>
      <c r="D136" s="242"/>
      <c r="E136" s="241"/>
      <c r="F136" s="241"/>
      <c r="G136" s="237">
        <v>195.95</v>
      </c>
    </row>
    <row r="137" spans="1:7" ht="19.5" customHeight="1">
      <c r="A137" s="242" t="s">
        <v>18</v>
      </c>
      <c r="B137" s="242"/>
      <c r="C137" s="242"/>
      <c r="D137" s="242"/>
      <c r="E137" s="241"/>
      <c r="F137" s="241"/>
      <c r="G137" s="237">
        <v>235.14</v>
      </c>
    </row>
    <row r="138" spans="1:7" ht="19.5" customHeight="1">
      <c r="A138" s="318" t="s">
        <v>462</v>
      </c>
      <c r="B138" s="318"/>
      <c r="C138" s="242"/>
      <c r="D138" s="242"/>
      <c r="E138" s="241"/>
      <c r="F138" s="241"/>
      <c r="G138" s="237">
        <v>1460</v>
      </c>
    </row>
    <row r="139" spans="1:7" ht="19.5" customHeight="1">
      <c r="A139" s="318" t="s">
        <v>558</v>
      </c>
      <c r="B139" s="318"/>
      <c r="C139" s="318"/>
      <c r="D139" s="242"/>
      <c r="E139" s="241"/>
      <c r="F139" s="241"/>
      <c r="G139" s="237">
        <v>22500</v>
      </c>
    </row>
    <row r="140" spans="1:7" ht="19.5" customHeight="1">
      <c r="A140" s="282" t="s">
        <v>408</v>
      </c>
      <c r="B140" s="282"/>
      <c r="C140" s="282"/>
      <c r="D140" s="231"/>
      <c r="E140" s="231"/>
      <c r="F140" s="279"/>
      <c r="G140" s="296">
        <v>5754</v>
      </c>
    </row>
    <row r="141" spans="1:7" ht="19.5" customHeight="1" thickBot="1">
      <c r="A141" s="241"/>
      <c r="B141" s="241"/>
      <c r="C141" s="241"/>
      <c r="D141" s="241"/>
      <c r="E141" s="231"/>
      <c r="F141" s="279" t="s">
        <v>19</v>
      </c>
      <c r="G141" s="292">
        <f>SUM(G134:G140)</f>
        <v>83656.87</v>
      </c>
    </row>
    <row r="142" spans="1:7" ht="19.5" customHeight="1" thickTop="1">
      <c r="A142" s="241"/>
      <c r="B142" s="241"/>
      <c r="C142" s="241"/>
      <c r="D142" s="241"/>
      <c r="E142" s="231"/>
      <c r="F142" s="279"/>
      <c r="G142" s="283"/>
    </row>
    <row r="143" spans="1:7" ht="19.5" customHeight="1">
      <c r="A143" s="241"/>
      <c r="B143" s="241"/>
      <c r="C143" s="241"/>
      <c r="D143" s="241"/>
      <c r="E143" s="231"/>
      <c r="F143" s="279"/>
      <c r="G143" s="283"/>
    </row>
    <row r="144" spans="1:7" ht="19.5" customHeight="1">
      <c r="A144" s="315" t="s">
        <v>64</v>
      </c>
      <c r="B144" s="315"/>
      <c r="C144" s="315"/>
      <c r="D144" s="315"/>
      <c r="E144" s="315"/>
      <c r="F144" s="315"/>
      <c r="G144" s="315"/>
    </row>
    <row r="145" spans="1:7" ht="19.5" customHeight="1">
      <c r="A145" s="316" t="s">
        <v>525</v>
      </c>
      <c r="B145" s="316"/>
      <c r="C145" s="316"/>
      <c r="D145" s="316"/>
      <c r="E145" s="316"/>
      <c r="F145" s="316"/>
      <c r="G145" s="316"/>
    </row>
    <row r="146" spans="1:7" ht="19.5" customHeight="1">
      <c r="A146" s="316" t="s">
        <v>559</v>
      </c>
      <c r="B146" s="316"/>
      <c r="C146" s="316"/>
      <c r="D146" s="316"/>
      <c r="E146" s="316"/>
      <c r="F146" s="316"/>
      <c r="G146" s="316"/>
    </row>
    <row r="147" spans="1:7" ht="19.5" customHeight="1">
      <c r="A147" s="317" t="s">
        <v>527</v>
      </c>
      <c r="B147" s="317"/>
      <c r="C147" s="317"/>
      <c r="D147" s="317"/>
      <c r="E147" s="317"/>
      <c r="F147" s="317"/>
      <c r="G147" s="317"/>
    </row>
    <row r="148" spans="1:7" ht="19.5" customHeight="1">
      <c r="A148" s="285"/>
      <c r="B148" s="285"/>
      <c r="C148" s="285"/>
      <c r="D148" s="285"/>
      <c r="E148" s="285"/>
      <c r="F148" s="285"/>
      <c r="G148" s="241" t="s">
        <v>70</v>
      </c>
    </row>
    <row r="149" spans="1:7" ht="19.5" customHeight="1">
      <c r="A149" s="318" t="s">
        <v>129</v>
      </c>
      <c r="B149" s="318"/>
      <c r="C149" s="318"/>
      <c r="D149" s="318"/>
      <c r="E149" s="241"/>
      <c r="F149" s="241"/>
      <c r="G149" s="237">
        <v>15641.78</v>
      </c>
    </row>
    <row r="150" spans="1:7" ht="19.5" customHeight="1">
      <c r="A150" s="242" t="s">
        <v>546</v>
      </c>
      <c r="B150" s="242"/>
      <c r="C150" s="242"/>
      <c r="D150" s="242"/>
      <c r="E150" s="241"/>
      <c r="F150" s="241"/>
      <c r="G150" s="237"/>
    </row>
    <row r="151" spans="1:7" ht="19.5" customHeight="1">
      <c r="A151" s="242" t="s">
        <v>408</v>
      </c>
      <c r="B151" s="242"/>
      <c r="C151" s="242"/>
      <c r="D151" s="242"/>
      <c r="E151" s="241"/>
      <c r="F151" s="241"/>
      <c r="G151" s="237">
        <v>5754</v>
      </c>
    </row>
    <row r="152" spans="1:7" ht="19.5" customHeight="1">
      <c r="A152" s="318" t="s">
        <v>462</v>
      </c>
      <c r="B152" s="318"/>
      <c r="C152" s="318"/>
      <c r="D152" s="318"/>
      <c r="E152" s="241"/>
      <c r="F152" s="241"/>
      <c r="G152" s="237">
        <v>1460</v>
      </c>
    </row>
    <row r="153" spans="1:7" ht="19.5" customHeight="1" thickBot="1">
      <c r="A153" s="241"/>
      <c r="B153" s="241"/>
      <c r="C153" s="241"/>
      <c r="D153" s="241"/>
      <c r="E153" s="241"/>
      <c r="F153" s="241" t="s">
        <v>19</v>
      </c>
      <c r="G153" s="293">
        <f>SUM(G149:G152)</f>
        <v>22855.78</v>
      </c>
    </row>
    <row r="154" spans="1:7" ht="19.5" customHeight="1" thickTop="1">
      <c r="A154" s="319"/>
      <c r="B154" s="319"/>
      <c r="C154" s="319"/>
      <c r="D154" s="319"/>
      <c r="E154" s="319"/>
      <c r="F154" s="319"/>
      <c r="G154" s="319"/>
    </row>
    <row r="155" spans="1:7" ht="19.5" customHeight="1">
      <c r="A155" s="319"/>
      <c r="B155" s="319"/>
      <c r="C155" s="319"/>
      <c r="D155" s="319"/>
      <c r="E155" s="319"/>
      <c r="F155" s="319"/>
      <c r="G155" s="319"/>
    </row>
    <row r="156" spans="1:7" ht="19.5" customHeight="1">
      <c r="A156" s="242"/>
      <c r="B156" s="242"/>
      <c r="C156" s="242"/>
      <c r="D156" s="242"/>
      <c r="E156" s="241"/>
      <c r="F156" s="241"/>
      <c r="G156" s="237"/>
    </row>
    <row r="157" spans="1:7" ht="19.5" customHeight="1">
      <c r="A157" s="242"/>
      <c r="B157" s="242"/>
      <c r="C157" s="242"/>
      <c r="D157" s="242"/>
      <c r="E157" s="241"/>
      <c r="F157" s="241"/>
      <c r="G157" s="237"/>
    </row>
    <row r="158" spans="1:7" ht="19.5" customHeight="1">
      <c r="A158" s="242"/>
      <c r="B158" s="242"/>
      <c r="C158" s="242"/>
      <c r="D158" s="237"/>
      <c r="E158" s="237"/>
      <c r="F158" s="237"/>
      <c r="G158" s="237"/>
    </row>
    <row r="159" spans="1:7" ht="19.5" customHeight="1">
      <c r="A159" s="242"/>
      <c r="B159" s="242"/>
      <c r="C159" s="242"/>
      <c r="D159" s="242"/>
      <c r="E159" s="241"/>
      <c r="F159" s="241"/>
      <c r="G159" s="237"/>
    </row>
    <row r="160" spans="1:7" ht="19.5" customHeight="1">
      <c r="A160" s="242"/>
      <c r="B160" s="242"/>
      <c r="C160" s="242"/>
      <c r="D160" s="242"/>
      <c r="E160" s="242"/>
      <c r="F160" s="241"/>
      <c r="G160" s="237"/>
    </row>
    <row r="161" spans="1:7" ht="19.5" customHeight="1">
      <c r="A161" s="318"/>
      <c r="B161" s="318"/>
      <c r="C161" s="318"/>
      <c r="D161" s="318"/>
      <c r="E161" s="318"/>
      <c r="F161" s="241"/>
      <c r="G161" s="237"/>
    </row>
    <row r="162" spans="1:7" ht="19.5" customHeight="1">
      <c r="A162" s="242"/>
      <c r="B162" s="242"/>
      <c r="C162" s="242"/>
      <c r="D162" s="242"/>
      <c r="E162" s="242"/>
      <c r="F162" s="241"/>
      <c r="G162" s="237"/>
    </row>
    <row r="163" spans="1:7" ht="19.5" customHeight="1">
      <c r="A163" s="242"/>
      <c r="B163" s="242"/>
      <c r="C163" s="242"/>
      <c r="D163" s="242"/>
      <c r="E163" s="242"/>
      <c r="F163" s="241"/>
      <c r="G163" s="237"/>
    </row>
    <row r="164" spans="1:7" ht="19.5" customHeight="1">
      <c r="A164" s="318"/>
      <c r="B164" s="318"/>
      <c r="C164" s="318"/>
      <c r="D164" s="318"/>
      <c r="E164" s="318"/>
      <c r="F164" s="241"/>
      <c r="G164" s="237"/>
    </row>
    <row r="165" spans="1:7" ht="19.5" customHeight="1">
      <c r="A165" s="315" t="s">
        <v>64</v>
      </c>
      <c r="B165" s="315"/>
      <c r="C165" s="315"/>
      <c r="D165" s="315"/>
      <c r="E165" s="315"/>
      <c r="F165" s="315"/>
      <c r="G165" s="315"/>
    </row>
    <row r="166" spans="1:7" ht="19.5" customHeight="1">
      <c r="A166" s="316" t="s">
        <v>525</v>
      </c>
      <c r="B166" s="316"/>
      <c r="C166" s="316"/>
      <c r="D166" s="316"/>
      <c r="E166" s="316"/>
      <c r="F166" s="316"/>
      <c r="G166" s="316"/>
    </row>
    <row r="167" spans="1:7" ht="19.5" customHeight="1">
      <c r="A167" s="316" t="s">
        <v>559</v>
      </c>
      <c r="B167" s="316"/>
      <c r="C167" s="316"/>
      <c r="D167" s="316"/>
      <c r="E167" s="316"/>
      <c r="F167" s="316"/>
      <c r="G167" s="316"/>
    </row>
    <row r="168" spans="1:7" ht="19.5" customHeight="1">
      <c r="A168" s="317" t="s">
        <v>499</v>
      </c>
      <c r="B168" s="317"/>
      <c r="C168" s="317"/>
      <c r="D168" s="317"/>
      <c r="E168" s="317"/>
      <c r="F168" s="317"/>
      <c r="G168" s="317"/>
    </row>
    <row r="169" spans="1:7" ht="19.5" customHeight="1">
      <c r="A169" s="285"/>
      <c r="B169" s="285"/>
      <c r="C169" s="285"/>
      <c r="D169" s="285"/>
      <c r="E169" s="285"/>
      <c r="F169" s="285"/>
      <c r="G169" s="241" t="s">
        <v>70</v>
      </c>
    </row>
    <row r="170" spans="1:7" ht="19.5" customHeight="1">
      <c r="A170" s="242" t="s">
        <v>414</v>
      </c>
      <c r="B170" s="242"/>
      <c r="C170" s="242"/>
      <c r="D170" s="242"/>
      <c r="E170" s="241"/>
      <c r="F170" s="241"/>
      <c r="G170" s="237">
        <v>0</v>
      </c>
    </row>
    <row r="171" spans="1:7" ht="19.5" customHeight="1">
      <c r="A171" s="242" t="s">
        <v>415</v>
      </c>
      <c r="B171" s="242"/>
      <c r="C171" s="242"/>
      <c r="D171" s="237"/>
      <c r="E171" s="237"/>
      <c r="F171" s="237"/>
      <c r="G171" s="237">
        <v>0</v>
      </c>
    </row>
    <row r="172" spans="1:7" ht="19.5" customHeight="1">
      <c r="A172" s="242" t="s">
        <v>416</v>
      </c>
      <c r="B172" s="242"/>
      <c r="C172" s="242"/>
      <c r="D172" s="242"/>
      <c r="E172" s="241"/>
      <c r="F172" s="241"/>
      <c r="G172" s="237">
        <v>0</v>
      </c>
    </row>
    <row r="173" spans="1:7" ht="19.5" customHeight="1">
      <c r="A173" s="242" t="s">
        <v>417</v>
      </c>
      <c r="B173" s="242"/>
      <c r="C173" s="242"/>
      <c r="D173" s="242"/>
      <c r="E173" s="242"/>
      <c r="F173" s="241"/>
      <c r="G173" s="237">
        <v>0</v>
      </c>
    </row>
    <row r="174" spans="1:7" ht="19.5" customHeight="1">
      <c r="A174" s="318" t="s">
        <v>418</v>
      </c>
      <c r="B174" s="318"/>
      <c r="C174" s="318"/>
      <c r="D174" s="318"/>
      <c r="E174" s="318"/>
      <c r="F174" s="241"/>
      <c r="G174" s="237">
        <v>0</v>
      </c>
    </row>
    <row r="175" spans="1:7" ht="19.5" customHeight="1">
      <c r="A175" s="242" t="s">
        <v>409</v>
      </c>
      <c r="B175" s="242"/>
      <c r="C175" s="242"/>
      <c r="D175" s="242"/>
      <c r="E175" s="242"/>
      <c r="F175" s="241"/>
      <c r="G175" s="237">
        <v>0</v>
      </c>
    </row>
    <row r="176" spans="1:7" ht="19.5" customHeight="1">
      <c r="A176" s="242" t="s">
        <v>410</v>
      </c>
      <c r="B176" s="242"/>
      <c r="C176" s="242"/>
      <c r="D176" s="242"/>
      <c r="E176" s="242"/>
      <c r="F176" s="241"/>
      <c r="G176" s="237">
        <v>0</v>
      </c>
    </row>
    <row r="177" spans="1:7" ht="19.5" customHeight="1">
      <c r="A177" s="318" t="s">
        <v>411</v>
      </c>
      <c r="B177" s="318"/>
      <c r="C177" s="318"/>
      <c r="D177" s="318"/>
      <c r="E177" s="318"/>
      <c r="F177" s="241"/>
      <c r="G177" s="237">
        <v>0</v>
      </c>
    </row>
    <row r="178" spans="1:7" ht="19.5" customHeight="1">
      <c r="A178" s="318" t="s">
        <v>412</v>
      </c>
      <c r="B178" s="318"/>
      <c r="C178" s="318"/>
      <c r="D178" s="318"/>
      <c r="E178" s="318"/>
      <c r="F178" s="241"/>
      <c r="G178" s="237">
        <v>0</v>
      </c>
    </row>
    <row r="179" spans="1:7" ht="19.5" customHeight="1">
      <c r="A179" s="318" t="s">
        <v>413</v>
      </c>
      <c r="B179" s="318"/>
      <c r="C179" s="318"/>
      <c r="D179" s="318"/>
      <c r="E179" s="318"/>
      <c r="F179" s="279"/>
      <c r="G179" s="282">
        <v>0</v>
      </c>
    </row>
    <row r="180" spans="1:7" ht="19.5" customHeight="1">
      <c r="A180" s="318" t="s">
        <v>480</v>
      </c>
      <c r="B180" s="318"/>
      <c r="C180" s="318"/>
      <c r="D180" s="318"/>
      <c r="E180" s="318"/>
      <c r="F180" s="279"/>
      <c r="G180" s="296">
        <v>0</v>
      </c>
    </row>
    <row r="181" spans="1:7" ht="19.5" customHeight="1" thickBot="1">
      <c r="A181" s="241"/>
      <c r="B181" s="241"/>
      <c r="C181" s="241"/>
      <c r="D181" s="241"/>
      <c r="E181" s="241"/>
      <c r="F181" s="241" t="s">
        <v>19</v>
      </c>
      <c r="G181" s="293">
        <v>0</v>
      </c>
    </row>
    <row r="182" spans="1:7" ht="19.5" customHeight="1" thickTop="1">
      <c r="A182" s="242"/>
      <c r="B182" s="242"/>
      <c r="C182" s="242"/>
      <c r="D182" s="242"/>
      <c r="E182" s="242"/>
      <c r="F182" s="241"/>
      <c r="G182" s="237"/>
    </row>
    <row r="183" spans="1:7" ht="19.5" customHeight="1">
      <c r="A183" s="242"/>
      <c r="B183" s="242"/>
      <c r="C183" s="242"/>
      <c r="D183" s="242"/>
      <c r="E183" s="242"/>
      <c r="F183" s="241"/>
      <c r="G183" s="237"/>
    </row>
    <row r="184" spans="1:7" ht="19.5" customHeight="1">
      <c r="A184" s="315" t="s">
        <v>64</v>
      </c>
      <c r="B184" s="315"/>
      <c r="C184" s="315"/>
      <c r="D184" s="315"/>
      <c r="E184" s="315"/>
      <c r="F184" s="315"/>
      <c r="G184" s="315"/>
    </row>
    <row r="185" spans="1:7" ht="19.5" customHeight="1">
      <c r="A185" s="316" t="s">
        <v>525</v>
      </c>
      <c r="B185" s="316"/>
      <c r="C185" s="316"/>
      <c r="D185" s="316"/>
      <c r="E185" s="316"/>
      <c r="F185" s="316"/>
      <c r="G185" s="316"/>
    </row>
    <row r="186" spans="1:7" ht="19.5" customHeight="1">
      <c r="A186" s="316" t="s">
        <v>559</v>
      </c>
      <c r="B186" s="316"/>
      <c r="C186" s="316"/>
      <c r="D186" s="316"/>
      <c r="E186" s="316"/>
      <c r="F186" s="316"/>
      <c r="G186" s="316"/>
    </row>
    <row r="187" spans="1:7" ht="19.5" customHeight="1">
      <c r="A187" s="317" t="s">
        <v>528</v>
      </c>
      <c r="B187" s="317"/>
      <c r="C187" s="317"/>
      <c r="D187" s="317"/>
      <c r="E187" s="317"/>
      <c r="F187" s="317"/>
      <c r="G187" s="317"/>
    </row>
    <row r="188" spans="1:7" ht="19.5" customHeight="1">
      <c r="A188" s="285"/>
      <c r="B188" s="285"/>
      <c r="C188" s="285"/>
      <c r="D188" s="285"/>
      <c r="E188" s="285"/>
      <c r="F188" s="285"/>
      <c r="G188" s="241" t="s">
        <v>70</v>
      </c>
    </row>
    <row r="189" spans="1:7" ht="19.5" customHeight="1">
      <c r="A189" s="318" t="s">
        <v>419</v>
      </c>
      <c r="B189" s="318"/>
      <c r="C189" s="318"/>
      <c r="D189" s="318"/>
      <c r="E189" s="318"/>
      <c r="F189" s="241"/>
      <c r="G189" s="237">
        <v>0</v>
      </c>
    </row>
    <row r="190" spans="1:7" ht="19.5" customHeight="1">
      <c r="A190" s="318" t="s">
        <v>420</v>
      </c>
      <c r="B190" s="318"/>
      <c r="C190" s="318"/>
      <c r="D190" s="318"/>
      <c r="E190" s="318"/>
      <c r="F190" s="241"/>
      <c r="G190" s="237">
        <v>0</v>
      </c>
    </row>
    <row r="191" spans="1:7" ht="19.5" customHeight="1">
      <c r="A191" s="318" t="s">
        <v>421</v>
      </c>
      <c r="B191" s="318"/>
      <c r="C191" s="318"/>
      <c r="D191" s="318"/>
      <c r="E191" s="318"/>
      <c r="F191" s="241"/>
      <c r="G191" s="237">
        <v>0</v>
      </c>
    </row>
    <row r="192" spans="1:7" ht="19.5" customHeight="1">
      <c r="A192" s="318" t="s">
        <v>422</v>
      </c>
      <c r="B192" s="318"/>
      <c r="C192" s="318"/>
      <c r="D192" s="318"/>
      <c r="E192" s="318"/>
      <c r="F192" s="241"/>
      <c r="G192" s="237">
        <v>0</v>
      </c>
    </row>
    <row r="193" spans="1:7" ht="19.5" customHeight="1">
      <c r="A193" s="318" t="s">
        <v>423</v>
      </c>
      <c r="B193" s="318"/>
      <c r="C193" s="318"/>
      <c r="D193" s="318"/>
      <c r="E193" s="318"/>
      <c r="F193" s="241"/>
      <c r="G193" s="295">
        <v>0</v>
      </c>
    </row>
    <row r="194" spans="1:7" ht="19.5" customHeight="1" thickBot="1">
      <c r="A194" s="317"/>
      <c r="B194" s="317"/>
      <c r="C194" s="317"/>
      <c r="D194" s="317"/>
      <c r="E194" s="317"/>
      <c r="F194" s="241" t="s">
        <v>19</v>
      </c>
      <c r="G194" s="294">
        <f>SUM(G189:G193)</f>
        <v>0</v>
      </c>
    </row>
    <row r="195" spans="1:7" ht="19.5" customHeight="1" thickTop="1">
      <c r="A195" s="242"/>
      <c r="B195" s="242"/>
      <c r="C195" s="242"/>
      <c r="D195" s="242"/>
      <c r="E195" s="241"/>
      <c r="F195" s="241"/>
      <c r="G195" s="237">
        <v>0</v>
      </c>
    </row>
    <row r="196" spans="1:7" ht="19.5" customHeight="1">
      <c r="A196" s="242"/>
      <c r="B196" s="242"/>
      <c r="C196" s="242"/>
      <c r="D196" s="242"/>
      <c r="E196" s="241"/>
      <c r="F196" s="241"/>
      <c r="G196" s="237">
        <v>0</v>
      </c>
    </row>
    <row r="197" spans="1:7" ht="19.5" customHeight="1">
      <c r="A197" s="242"/>
      <c r="B197" s="242"/>
      <c r="C197" s="242"/>
      <c r="D197" s="242"/>
      <c r="E197" s="241"/>
      <c r="F197" s="241"/>
      <c r="G197" s="237">
        <v>0</v>
      </c>
    </row>
    <row r="198" spans="1:7" ht="19.5" customHeight="1">
      <c r="A198" s="242"/>
      <c r="B198" s="242"/>
      <c r="C198" s="242"/>
      <c r="D198" s="242"/>
      <c r="E198" s="241"/>
      <c r="F198" s="241"/>
      <c r="G198" s="237">
        <v>0</v>
      </c>
    </row>
    <row r="199" spans="1:7" ht="19.5" customHeight="1">
      <c r="A199" s="242"/>
      <c r="B199" s="242"/>
      <c r="C199" s="242"/>
      <c r="D199" s="242"/>
      <c r="E199" s="241"/>
      <c r="F199" s="241"/>
      <c r="G199" s="237">
        <v>0</v>
      </c>
    </row>
    <row r="200" spans="1:7" ht="19.5" customHeight="1">
      <c r="A200" s="241"/>
      <c r="B200" s="241"/>
      <c r="C200" s="241"/>
      <c r="D200" s="241"/>
      <c r="E200" s="241"/>
      <c r="F200" s="279"/>
      <c r="G200" s="284"/>
    </row>
    <row r="201" spans="1:7" ht="19.5" customHeight="1">
      <c r="A201" s="241"/>
      <c r="B201" s="241"/>
      <c r="C201" s="241"/>
      <c r="D201" s="241"/>
      <c r="E201" s="241"/>
      <c r="F201" s="279"/>
      <c r="G201" s="284"/>
    </row>
    <row r="202" spans="1:7" ht="19.5" customHeight="1">
      <c r="A202" s="241"/>
      <c r="B202" s="241"/>
      <c r="C202" s="241"/>
      <c r="D202" s="241"/>
      <c r="E202" s="241"/>
      <c r="F202" s="279"/>
      <c r="G202" s="284"/>
    </row>
    <row r="203" spans="1:7" ht="19.5" customHeight="1">
      <c r="A203" s="241"/>
      <c r="B203" s="241"/>
      <c r="C203" s="241"/>
      <c r="D203" s="241"/>
      <c r="E203" s="241"/>
      <c r="F203" s="279"/>
      <c r="G203" s="284"/>
    </row>
    <row r="204" spans="1:7" ht="19.5" customHeight="1">
      <c r="A204" s="241"/>
      <c r="B204" s="241"/>
      <c r="C204" s="241"/>
      <c r="D204" s="241"/>
      <c r="E204" s="241"/>
      <c r="F204" s="279"/>
      <c r="G204" s="284"/>
    </row>
    <row r="205" spans="1:7" ht="19.5" customHeight="1">
      <c r="A205" s="243"/>
      <c r="B205" s="243"/>
      <c r="C205" s="243"/>
      <c r="E205" s="241"/>
      <c r="F205" s="243"/>
      <c r="G205" s="243"/>
    </row>
    <row r="206" spans="1:7" ht="19.5" customHeight="1">
      <c r="A206" s="243"/>
      <c r="B206" s="243"/>
      <c r="C206" s="243"/>
      <c r="F206" s="243"/>
      <c r="G206" s="243"/>
    </row>
    <row r="207" spans="1:7" ht="19.5" customHeight="1">
      <c r="A207" s="243"/>
      <c r="B207" s="243"/>
      <c r="C207" s="243"/>
      <c r="F207" s="243"/>
      <c r="G207" s="243"/>
    </row>
    <row r="208" spans="1:7" ht="19.5" customHeight="1">
      <c r="A208" s="243"/>
      <c r="B208" s="243"/>
      <c r="C208" s="243"/>
      <c r="F208" s="243"/>
      <c r="G208" s="243"/>
    </row>
    <row r="209" spans="1:7" ht="19.5" customHeight="1">
      <c r="A209" s="243"/>
      <c r="B209" s="243"/>
      <c r="C209" s="243"/>
      <c r="F209" s="243"/>
      <c r="G209" s="243"/>
    </row>
    <row r="210" spans="1:7" ht="19.5" customHeight="1">
      <c r="A210" s="243"/>
      <c r="B210" s="243"/>
      <c r="C210" s="243"/>
      <c r="F210" s="243"/>
      <c r="G210" s="243"/>
    </row>
    <row r="211" spans="1:7" ht="19.5" customHeight="1">
      <c r="A211" s="243"/>
      <c r="B211" s="243"/>
      <c r="C211" s="243"/>
      <c r="F211" s="243"/>
      <c r="G211" s="243"/>
    </row>
    <row r="212" spans="1:7" ht="19.5" customHeight="1">
      <c r="A212" s="243"/>
      <c r="B212" s="243"/>
      <c r="C212" s="243"/>
      <c r="F212" s="243"/>
      <c r="G212" s="243"/>
    </row>
    <row r="213" spans="1:7" ht="19.5" customHeight="1">
      <c r="A213" s="243"/>
      <c r="B213" s="243"/>
      <c r="C213" s="243"/>
      <c r="F213" s="243"/>
      <c r="G213" s="243"/>
    </row>
    <row r="214" spans="1:7" ht="19.5" customHeight="1">
      <c r="A214" s="243"/>
      <c r="B214" s="243"/>
      <c r="C214" s="243"/>
      <c r="F214" s="243"/>
      <c r="G214" s="243"/>
    </row>
    <row r="215" spans="1:7" ht="19.5" customHeight="1">
      <c r="A215" s="243"/>
      <c r="B215" s="243"/>
      <c r="C215" s="243"/>
      <c r="F215" s="243"/>
      <c r="G215" s="243"/>
    </row>
    <row r="216" spans="1:7" ht="19.5" customHeight="1">
      <c r="A216" s="243"/>
      <c r="B216" s="243"/>
      <c r="C216" s="243"/>
      <c r="F216" s="243"/>
      <c r="G216" s="243"/>
    </row>
    <row r="217" spans="1:7" ht="19.5" customHeight="1">
      <c r="A217" s="243"/>
      <c r="B217" s="243"/>
      <c r="C217" s="243"/>
      <c r="F217" s="243"/>
      <c r="G217" s="243"/>
    </row>
    <row r="218" spans="1:7" ht="19.5" customHeight="1">
      <c r="A218" s="243"/>
      <c r="B218" s="243"/>
      <c r="C218" s="243"/>
      <c r="F218" s="243"/>
      <c r="G218" s="243"/>
    </row>
    <row r="219" spans="1:7" ht="19.5" customHeight="1">
      <c r="A219" s="243"/>
      <c r="B219" s="243"/>
      <c r="C219" s="243"/>
      <c r="F219" s="243"/>
      <c r="G219" s="243"/>
    </row>
    <row r="220" spans="1:7" ht="19.5" customHeight="1">
      <c r="A220" s="243"/>
      <c r="B220" s="243"/>
      <c r="C220" s="243"/>
      <c r="F220" s="243"/>
      <c r="G220" s="243"/>
    </row>
    <row r="221" spans="1:7" ht="19.5" customHeight="1">
      <c r="A221" s="243"/>
      <c r="B221" s="243"/>
      <c r="C221" s="243"/>
      <c r="F221" s="243"/>
      <c r="G221" s="243"/>
    </row>
    <row r="222" spans="1:7" ht="19.5" customHeight="1">
      <c r="A222" s="243"/>
      <c r="B222" s="243"/>
      <c r="C222" s="243"/>
      <c r="F222" s="243"/>
      <c r="G222" s="243"/>
    </row>
    <row r="223" spans="1:7" ht="19.5" customHeight="1">
      <c r="A223" s="243"/>
      <c r="B223" s="243"/>
      <c r="C223" s="243"/>
      <c r="F223" s="243"/>
      <c r="G223" s="243"/>
    </row>
    <row r="224" spans="1:7" ht="19.5" customHeight="1">
      <c r="A224" s="243"/>
      <c r="B224" s="243"/>
      <c r="C224" s="243"/>
      <c r="F224" s="243"/>
      <c r="G224" s="243"/>
    </row>
    <row r="225" spans="1:7" ht="19.5" customHeight="1">
      <c r="A225" s="243"/>
      <c r="B225" s="243"/>
      <c r="C225" s="243"/>
      <c r="F225" s="243"/>
      <c r="G225" s="243"/>
    </row>
    <row r="226" spans="1:7" ht="19.5" customHeight="1">
      <c r="A226" s="243"/>
      <c r="B226" s="243"/>
      <c r="C226" s="243"/>
      <c r="F226" s="243"/>
      <c r="G226" s="243"/>
    </row>
    <row r="227" spans="1:7" ht="19.5" customHeight="1">
      <c r="A227" s="243"/>
      <c r="B227" s="243"/>
      <c r="C227" s="243"/>
      <c r="F227" s="243"/>
      <c r="G227" s="243"/>
    </row>
    <row r="228" spans="1:7" ht="19.5" customHeight="1">
      <c r="A228" s="243"/>
      <c r="B228" s="243"/>
      <c r="C228" s="243"/>
      <c r="F228" s="243"/>
      <c r="G228" s="243"/>
    </row>
    <row r="229" spans="1:7" ht="19.5" customHeight="1">
      <c r="A229" s="243"/>
      <c r="B229" s="243"/>
      <c r="C229" s="243"/>
      <c r="F229" s="243"/>
      <c r="G229" s="243"/>
    </row>
    <row r="230" spans="1:7" ht="19.5" customHeight="1">
      <c r="A230" s="243"/>
      <c r="B230" s="243"/>
      <c r="C230" s="243"/>
      <c r="F230" s="243"/>
      <c r="G230" s="243"/>
    </row>
    <row r="231" spans="1:7" ht="19.5" customHeight="1">
      <c r="A231" s="243"/>
      <c r="B231" s="243"/>
      <c r="C231" s="243"/>
      <c r="F231" s="243"/>
      <c r="G231" s="243"/>
    </row>
    <row r="232" spans="1:7" ht="19.5" customHeight="1">
      <c r="A232" s="243"/>
      <c r="B232" s="243"/>
      <c r="C232" s="243"/>
      <c r="F232" s="243"/>
      <c r="G232" s="243"/>
    </row>
    <row r="233" spans="1:7" ht="19.5" customHeight="1">
      <c r="A233" s="243"/>
      <c r="B233" s="243"/>
      <c r="C233" s="243"/>
      <c r="F233" s="243"/>
      <c r="G233" s="243"/>
    </row>
    <row r="234" spans="1:7" ht="19.5" customHeight="1">
      <c r="A234" s="243"/>
      <c r="B234" s="243"/>
      <c r="C234" s="243"/>
      <c r="F234" s="243"/>
      <c r="G234" s="243"/>
    </row>
    <row r="235" spans="1:7" ht="19.5" customHeight="1">
      <c r="A235" s="243"/>
      <c r="B235" s="243"/>
      <c r="C235" s="243"/>
      <c r="F235" s="243"/>
      <c r="G235" s="243"/>
    </row>
    <row r="236" spans="1:7" ht="19.5" customHeight="1">
      <c r="A236" s="243"/>
      <c r="B236" s="243"/>
      <c r="C236" s="243"/>
      <c r="F236" s="243"/>
      <c r="G236" s="243"/>
    </row>
    <row r="237" spans="1:7" ht="19.5" customHeight="1">
      <c r="A237" s="243"/>
      <c r="B237" s="243"/>
      <c r="C237" s="243"/>
      <c r="F237" s="243"/>
      <c r="G237" s="243"/>
    </row>
    <row r="238" spans="1:7" ht="19.5" customHeight="1">
      <c r="A238" s="243"/>
      <c r="B238" s="243"/>
      <c r="C238" s="243"/>
      <c r="F238" s="243"/>
      <c r="G238" s="243"/>
    </row>
    <row r="239" spans="1:7" ht="19.5" customHeight="1">
      <c r="A239" s="243"/>
      <c r="B239" s="243"/>
      <c r="C239" s="243"/>
      <c r="F239" s="243"/>
      <c r="G239" s="243"/>
    </row>
    <row r="240" spans="1:7" ht="19.5" customHeight="1">
      <c r="A240" s="243"/>
      <c r="B240" s="243"/>
      <c r="C240" s="243"/>
      <c r="F240" s="243"/>
      <c r="G240" s="243"/>
    </row>
    <row r="241" spans="1:7" ht="19.5" customHeight="1">
      <c r="A241" s="243"/>
      <c r="B241" s="243"/>
      <c r="C241" s="243"/>
      <c r="F241" s="243"/>
      <c r="G241" s="243"/>
    </row>
    <row r="242" spans="1:7" ht="19.5" customHeight="1">
      <c r="A242" s="243"/>
      <c r="B242" s="243"/>
      <c r="C242" s="243"/>
      <c r="F242" s="243"/>
      <c r="G242" s="243"/>
    </row>
    <row r="243" spans="1:7" ht="19.5" customHeight="1">
      <c r="A243" s="243"/>
      <c r="B243" s="243"/>
      <c r="C243" s="243"/>
      <c r="F243" s="243"/>
      <c r="G243" s="243"/>
    </row>
    <row r="244" spans="1:7" ht="19.5" customHeight="1">
      <c r="A244" s="243"/>
      <c r="B244" s="243"/>
      <c r="C244" s="243"/>
      <c r="F244" s="243"/>
      <c r="G244" s="243"/>
    </row>
    <row r="245" spans="1:7" ht="19.5" customHeight="1">
      <c r="A245" s="243"/>
      <c r="B245" s="243"/>
      <c r="C245" s="243"/>
      <c r="F245" s="243"/>
      <c r="G245" s="243"/>
    </row>
    <row r="246" spans="1:7" ht="19.5" customHeight="1">
      <c r="A246" s="243"/>
      <c r="B246" s="243"/>
      <c r="C246" s="243"/>
      <c r="F246" s="243"/>
      <c r="G246" s="243"/>
    </row>
    <row r="247" spans="1:7" ht="19.5" customHeight="1">
      <c r="A247" s="243"/>
      <c r="B247" s="243"/>
      <c r="C247" s="243"/>
      <c r="F247" s="243"/>
      <c r="G247" s="243"/>
    </row>
    <row r="248" spans="1:7" ht="19.5" customHeight="1">
      <c r="A248" s="243"/>
      <c r="B248" s="243"/>
      <c r="C248" s="243"/>
      <c r="F248" s="243"/>
      <c r="G248" s="243"/>
    </row>
    <row r="249" spans="1:7" ht="19.5" customHeight="1">
      <c r="A249" s="243"/>
      <c r="B249" s="243"/>
      <c r="C249" s="243"/>
      <c r="F249" s="243"/>
      <c r="G249" s="243"/>
    </row>
    <row r="250" spans="1:7" ht="19.5" customHeight="1">
      <c r="A250" s="243"/>
      <c r="B250" s="243"/>
      <c r="C250" s="243"/>
      <c r="F250" s="243"/>
      <c r="G250" s="243"/>
    </row>
    <row r="251" spans="1:7" ht="19.5" customHeight="1">
      <c r="A251" s="243"/>
      <c r="B251" s="243"/>
      <c r="C251" s="243"/>
      <c r="F251" s="243"/>
      <c r="G251" s="243"/>
    </row>
    <row r="252" spans="1:7" ht="19.5" customHeight="1">
      <c r="A252" s="243"/>
      <c r="B252" s="243"/>
      <c r="C252" s="243"/>
      <c r="F252" s="243"/>
      <c r="G252" s="243"/>
    </row>
    <row r="253" spans="1:7" ht="19.5" customHeight="1">
      <c r="A253" s="243"/>
      <c r="B253" s="243"/>
      <c r="C253" s="243"/>
      <c r="F253" s="243"/>
      <c r="G253" s="243"/>
    </row>
    <row r="254" spans="1:7" ht="19.5" customHeight="1">
      <c r="A254" s="243"/>
      <c r="B254" s="243"/>
      <c r="C254" s="243"/>
      <c r="F254" s="243"/>
      <c r="G254" s="243"/>
    </row>
    <row r="255" spans="1:7" ht="19.5" customHeight="1">
      <c r="A255" s="243"/>
      <c r="B255" s="243"/>
      <c r="C255" s="243"/>
      <c r="F255" s="243"/>
      <c r="G255" s="243"/>
    </row>
    <row r="256" spans="1:7" ht="19.5" customHeight="1">
      <c r="A256" s="243"/>
      <c r="B256" s="243"/>
      <c r="C256" s="243"/>
      <c r="F256" s="243"/>
      <c r="G256" s="243"/>
    </row>
    <row r="257" spans="1:7" ht="19.5" customHeight="1">
      <c r="A257" s="243"/>
      <c r="B257" s="243"/>
      <c r="C257" s="243"/>
      <c r="F257" s="243"/>
      <c r="G257" s="243"/>
    </row>
    <row r="258" spans="1:7" ht="19.5" customHeight="1">
      <c r="A258" s="243"/>
      <c r="B258" s="243"/>
      <c r="C258" s="243"/>
      <c r="F258" s="243"/>
      <c r="G258" s="243"/>
    </row>
    <row r="259" spans="1:7" ht="19.5" customHeight="1">
      <c r="A259" s="243"/>
      <c r="B259" s="243"/>
      <c r="C259" s="243"/>
      <c r="F259" s="243"/>
      <c r="G259" s="243"/>
    </row>
    <row r="260" spans="1:7" ht="19.5" customHeight="1">
      <c r="A260" s="243"/>
      <c r="B260" s="243"/>
      <c r="C260" s="243"/>
      <c r="F260" s="243"/>
      <c r="G260" s="243"/>
    </row>
    <row r="261" spans="1:7" ht="19.5" customHeight="1">
      <c r="A261" s="243"/>
      <c r="B261" s="243"/>
      <c r="C261" s="243"/>
      <c r="F261" s="243"/>
      <c r="G261" s="243"/>
    </row>
    <row r="262" spans="1:7" ht="19.5" customHeight="1">
      <c r="A262" s="243"/>
      <c r="B262" s="243"/>
      <c r="C262" s="243"/>
      <c r="F262" s="243"/>
      <c r="G262" s="243"/>
    </row>
    <row r="263" spans="1:7" ht="19.5" customHeight="1">
      <c r="A263" s="243"/>
      <c r="B263" s="243"/>
      <c r="C263" s="243"/>
      <c r="F263" s="243"/>
      <c r="G263" s="243"/>
    </row>
    <row r="264" spans="1:7" ht="19.5" customHeight="1">
      <c r="A264" s="243"/>
      <c r="B264" s="243"/>
      <c r="C264" s="243"/>
      <c r="F264" s="243"/>
      <c r="G264" s="243"/>
    </row>
    <row r="265" spans="1:7" ht="19.5" customHeight="1">
      <c r="A265" s="243"/>
      <c r="B265" s="243"/>
      <c r="C265" s="243"/>
      <c r="F265" s="243"/>
      <c r="G265" s="243"/>
    </row>
    <row r="266" spans="1:7" ht="19.5" customHeight="1">
      <c r="A266" s="243"/>
      <c r="B266" s="243"/>
      <c r="C266" s="243"/>
      <c r="F266" s="243"/>
      <c r="G266" s="243"/>
    </row>
    <row r="267" spans="1:7" ht="19.5" customHeight="1">
      <c r="A267" s="243"/>
      <c r="B267" s="243"/>
      <c r="C267" s="243"/>
      <c r="F267" s="243"/>
      <c r="G267" s="243"/>
    </row>
    <row r="268" spans="1:7" ht="19.5" customHeight="1">
      <c r="A268" s="243"/>
      <c r="B268" s="243"/>
      <c r="C268" s="243"/>
      <c r="F268" s="243"/>
      <c r="G268" s="243"/>
    </row>
    <row r="269" spans="1:7" ht="19.5" customHeight="1">
      <c r="A269" s="243"/>
      <c r="B269" s="243"/>
      <c r="C269" s="243"/>
      <c r="F269" s="243"/>
      <c r="G269" s="243"/>
    </row>
    <row r="270" spans="1:7" ht="19.5" customHeight="1">
      <c r="A270" s="243"/>
      <c r="B270" s="243"/>
      <c r="C270" s="243"/>
      <c r="F270" s="243"/>
      <c r="G270" s="243"/>
    </row>
    <row r="271" spans="1:7" ht="19.5" customHeight="1">
      <c r="A271" s="243"/>
      <c r="B271" s="243"/>
      <c r="C271" s="243"/>
      <c r="F271" s="243"/>
      <c r="G271" s="243"/>
    </row>
    <row r="272" spans="1:7" ht="19.5" customHeight="1">
      <c r="A272" s="243"/>
      <c r="B272" s="243"/>
      <c r="C272" s="243"/>
      <c r="F272" s="243"/>
      <c r="G272" s="243"/>
    </row>
    <row r="273" spans="1:7" ht="19.5" customHeight="1">
      <c r="A273" s="243"/>
      <c r="B273" s="243"/>
      <c r="C273" s="243"/>
      <c r="F273" s="243"/>
      <c r="G273" s="243"/>
    </row>
    <row r="274" spans="1:7" ht="19.5" customHeight="1">
      <c r="A274" s="243"/>
      <c r="B274" s="243"/>
      <c r="C274" s="243"/>
      <c r="F274" s="243"/>
      <c r="G274" s="243"/>
    </row>
    <row r="275" spans="1:7" ht="19.5" customHeight="1">
      <c r="A275" s="243"/>
      <c r="B275" s="243"/>
      <c r="C275" s="243"/>
      <c r="F275" s="243"/>
      <c r="G275" s="243"/>
    </row>
    <row r="276" spans="1:7" ht="19.5" customHeight="1">
      <c r="A276" s="243"/>
      <c r="B276" s="243"/>
      <c r="C276" s="243"/>
      <c r="F276" s="243"/>
      <c r="G276" s="243"/>
    </row>
    <row r="277" spans="1:7" ht="19.5" customHeight="1">
      <c r="A277" s="243"/>
      <c r="B277" s="243"/>
      <c r="C277" s="243"/>
      <c r="F277" s="243"/>
      <c r="G277" s="243"/>
    </row>
    <row r="278" spans="1:7" ht="19.5" customHeight="1">
      <c r="A278" s="243"/>
      <c r="B278" s="243"/>
      <c r="C278" s="243"/>
      <c r="F278" s="243"/>
      <c r="G278" s="243"/>
    </row>
    <row r="279" spans="1:7" ht="19.5" customHeight="1">
      <c r="A279" s="243"/>
      <c r="B279" s="243"/>
      <c r="C279" s="243"/>
      <c r="F279" s="243"/>
      <c r="G279" s="243"/>
    </row>
    <row r="280" spans="1:7" ht="19.5" customHeight="1">
      <c r="A280" s="243"/>
      <c r="B280" s="243"/>
      <c r="C280" s="243"/>
      <c r="F280" s="243"/>
      <c r="G280" s="243"/>
    </row>
    <row r="281" spans="1:7" ht="19.5" customHeight="1">
      <c r="A281" s="243"/>
      <c r="B281" s="243"/>
      <c r="C281" s="243"/>
      <c r="F281" s="243"/>
      <c r="G281" s="243"/>
    </row>
    <row r="282" spans="1:7" ht="19.5" customHeight="1">
      <c r="A282" s="243"/>
      <c r="B282" s="243"/>
      <c r="C282" s="243"/>
      <c r="F282" s="243"/>
      <c r="G282" s="243"/>
    </row>
    <row r="283" spans="1:7" ht="19.5" customHeight="1">
      <c r="A283" s="243"/>
      <c r="B283" s="243"/>
      <c r="C283" s="243"/>
      <c r="F283" s="243"/>
      <c r="G283" s="243"/>
    </row>
    <row r="284" spans="1:7" ht="19.5" customHeight="1">
      <c r="A284" s="243"/>
      <c r="B284" s="243"/>
      <c r="C284" s="243"/>
      <c r="F284" s="243"/>
      <c r="G284" s="243"/>
    </row>
    <row r="285" spans="1:7" ht="19.5" customHeight="1">
      <c r="A285" s="243"/>
      <c r="B285" s="243"/>
      <c r="C285" s="243"/>
      <c r="F285" s="243"/>
      <c r="G285" s="243"/>
    </row>
    <row r="286" spans="1:7" ht="19.5" customHeight="1">
      <c r="A286" s="243"/>
      <c r="B286" s="243"/>
      <c r="C286" s="243"/>
      <c r="F286" s="243"/>
      <c r="G286" s="243"/>
    </row>
    <row r="287" spans="1:7" ht="19.5" customHeight="1">
      <c r="A287" s="243"/>
      <c r="B287" s="243"/>
      <c r="C287" s="243"/>
      <c r="F287" s="243"/>
      <c r="G287" s="243"/>
    </row>
    <row r="288" spans="1:7" ht="19.5" customHeight="1">
      <c r="A288" s="243"/>
      <c r="B288" s="243"/>
      <c r="C288" s="243"/>
      <c r="F288" s="243"/>
      <c r="G288" s="243"/>
    </row>
    <row r="289" spans="1:7" ht="19.5" customHeight="1">
      <c r="A289" s="243"/>
      <c r="B289" s="243"/>
      <c r="C289" s="243"/>
      <c r="F289" s="243"/>
      <c r="G289" s="243"/>
    </row>
    <row r="290" spans="1:7" ht="19.5" customHeight="1">
      <c r="A290" s="243"/>
      <c r="B290" s="243"/>
      <c r="C290" s="243"/>
      <c r="F290" s="243"/>
      <c r="G290" s="243"/>
    </row>
    <row r="291" spans="1:7" ht="19.5" customHeight="1">
      <c r="A291" s="243"/>
      <c r="B291" s="243"/>
      <c r="C291" s="243"/>
      <c r="F291" s="243"/>
      <c r="G291" s="243"/>
    </row>
    <row r="292" spans="1:7" ht="19.5" customHeight="1">
      <c r="A292" s="243"/>
      <c r="B292" s="243"/>
      <c r="C292" s="243"/>
      <c r="F292" s="243"/>
      <c r="G292" s="243"/>
    </row>
    <row r="293" spans="1:7" ht="19.5" customHeight="1">
      <c r="A293" s="243"/>
      <c r="B293" s="243"/>
      <c r="C293" s="243"/>
      <c r="F293" s="243"/>
      <c r="G293" s="243"/>
    </row>
    <row r="294" spans="1:7" ht="19.5" customHeight="1">
      <c r="A294" s="243"/>
      <c r="B294" s="243"/>
      <c r="C294" s="243"/>
      <c r="F294" s="243"/>
      <c r="G294" s="243"/>
    </row>
    <row r="295" spans="1:7" ht="19.5" customHeight="1">
      <c r="A295" s="243"/>
      <c r="B295" s="243"/>
      <c r="C295" s="243"/>
      <c r="F295" s="243"/>
      <c r="G295" s="243"/>
    </row>
    <row r="296" spans="1:7" ht="19.5" customHeight="1">
      <c r="A296" s="243"/>
      <c r="B296" s="243"/>
      <c r="C296" s="243"/>
      <c r="F296" s="243"/>
      <c r="G296" s="243"/>
    </row>
    <row r="297" spans="1:7" ht="19.5" customHeight="1">
      <c r="A297" s="243"/>
      <c r="B297" s="243"/>
      <c r="C297" s="243"/>
      <c r="F297" s="243"/>
      <c r="G297" s="243"/>
    </row>
    <row r="298" spans="1:7" ht="19.5" customHeight="1">
      <c r="A298" s="243"/>
      <c r="B298" s="243"/>
      <c r="C298" s="243"/>
      <c r="F298" s="243"/>
      <c r="G298" s="243"/>
    </row>
    <row r="299" spans="1:7" ht="19.5" customHeight="1">
      <c r="A299" s="243"/>
      <c r="B299" s="243"/>
      <c r="C299" s="243"/>
      <c r="F299" s="243"/>
      <c r="G299" s="243"/>
    </row>
    <row r="300" spans="1:7" ht="19.5" customHeight="1">
      <c r="A300" s="243"/>
      <c r="B300" s="243"/>
      <c r="C300" s="243"/>
      <c r="F300" s="243"/>
      <c r="G300" s="243"/>
    </row>
    <row r="301" spans="1:7" ht="19.5" customHeight="1">
      <c r="A301" s="243"/>
      <c r="B301" s="243"/>
      <c r="C301" s="243"/>
      <c r="F301" s="243"/>
      <c r="G301" s="243"/>
    </row>
    <row r="302" spans="1:7" ht="19.5" customHeight="1">
      <c r="A302" s="243"/>
      <c r="B302" s="243"/>
      <c r="C302" s="243"/>
      <c r="F302" s="243"/>
      <c r="G302" s="243"/>
    </row>
    <row r="303" spans="1:7" ht="19.5" customHeight="1">
      <c r="A303" s="243"/>
      <c r="B303" s="243"/>
      <c r="C303" s="243"/>
      <c r="F303" s="243"/>
      <c r="G303" s="243"/>
    </row>
    <row r="304" spans="1:7" ht="19.5" customHeight="1">
      <c r="A304" s="243"/>
      <c r="B304" s="243"/>
      <c r="C304" s="243"/>
      <c r="F304" s="243"/>
      <c r="G304" s="243"/>
    </row>
    <row r="305" spans="1:7" ht="19.5" customHeight="1">
      <c r="A305" s="243"/>
      <c r="B305" s="243"/>
      <c r="C305" s="243"/>
      <c r="F305" s="243"/>
      <c r="G305" s="243"/>
    </row>
    <row r="306" spans="1:7" ht="19.5" customHeight="1">
      <c r="A306" s="243"/>
      <c r="B306" s="243"/>
      <c r="C306" s="243"/>
      <c r="F306" s="243"/>
      <c r="G306" s="243"/>
    </row>
    <row r="307" spans="1:7" ht="19.5" customHeight="1">
      <c r="A307" s="243"/>
      <c r="B307" s="243"/>
      <c r="C307" s="243"/>
      <c r="F307" s="243"/>
      <c r="G307" s="243"/>
    </row>
    <row r="308" spans="1:7" ht="19.5" customHeight="1">
      <c r="A308" s="243"/>
      <c r="B308" s="243"/>
      <c r="C308" s="243"/>
      <c r="F308" s="243"/>
      <c r="G308" s="243"/>
    </row>
    <row r="309" spans="1:7" ht="19.5" customHeight="1">
      <c r="A309" s="243"/>
      <c r="B309" s="243"/>
      <c r="C309" s="243"/>
      <c r="F309" s="243"/>
      <c r="G309" s="243"/>
    </row>
    <row r="310" spans="1:7" ht="19.5" customHeight="1">
      <c r="A310" s="243"/>
      <c r="B310" s="243"/>
      <c r="C310" s="243"/>
      <c r="F310" s="243"/>
      <c r="G310" s="243"/>
    </row>
    <row r="311" spans="1:7" ht="19.5" customHeight="1">
      <c r="A311" s="243"/>
      <c r="B311" s="243"/>
      <c r="C311" s="243"/>
      <c r="F311" s="243"/>
      <c r="G311" s="243"/>
    </row>
    <row r="312" spans="1:7" ht="19.5" customHeight="1">
      <c r="A312" s="243"/>
      <c r="B312" s="243"/>
      <c r="C312" s="243"/>
      <c r="F312" s="243"/>
      <c r="G312" s="243"/>
    </row>
    <row r="313" spans="1:7" ht="19.5" customHeight="1">
      <c r="A313" s="243"/>
      <c r="B313" s="243"/>
      <c r="C313" s="243"/>
      <c r="F313" s="243"/>
      <c r="G313" s="243"/>
    </row>
    <row r="314" spans="1:7" ht="19.5" customHeight="1">
      <c r="A314" s="243"/>
      <c r="B314" s="243"/>
      <c r="C314" s="243"/>
      <c r="F314" s="243"/>
      <c r="G314" s="243"/>
    </row>
    <row r="315" spans="1:7" ht="19.5" customHeight="1">
      <c r="A315" s="243"/>
      <c r="B315" s="243"/>
      <c r="C315" s="243"/>
      <c r="F315" s="243"/>
      <c r="G315" s="243"/>
    </row>
    <row r="316" spans="1:7" ht="19.5" customHeight="1">
      <c r="A316" s="243"/>
      <c r="B316" s="243"/>
      <c r="C316" s="243"/>
      <c r="F316" s="243"/>
      <c r="G316" s="243"/>
    </row>
    <row r="317" spans="1:7" ht="19.5" customHeight="1">
      <c r="A317" s="243"/>
      <c r="B317" s="243"/>
      <c r="C317" s="243"/>
      <c r="F317" s="243"/>
      <c r="G317" s="243"/>
    </row>
    <row r="318" spans="1:7" ht="19.5" customHeight="1">
      <c r="A318" s="243"/>
      <c r="B318" s="243"/>
      <c r="C318" s="243"/>
      <c r="F318" s="243"/>
      <c r="G318" s="243"/>
    </row>
    <row r="319" spans="1:7" ht="19.5" customHeight="1">
      <c r="A319" s="243"/>
      <c r="B319" s="243"/>
      <c r="C319" s="243"/>
      <c r="F319" s="243"/>
      <c r="G319" s="243"/>
    </row>
    <row r="320" spans="1:7" ht="19.5" customHeight="1">
      <c r="A320" s="243"/>
      <c r="B320" s="243"/>
      <c r="C320" s="243"/>
      <c r="F320" s="243"/>
      <c r="G320" s="243"/>
    </row>
    <row r="321" spans="1:7" ht="19.5" customHeight="1">
      <c r="A321" s="243"/>
      <c r="B321" s="243"/>
      <c r="C321" s="243"/>
      <c r="F321" s="243"/>
      <c r="G321" s="243"/>
    </row>
    <row r="322" spans="1:7" ht="19.5" customHeight="1">
      <c r="A322" s="243"/>
      <c r="B322" s="243"/>
      <c r="C322" s="243"/>
      <c r="F322" s="243"/>
      <c r="G322" s="243"/>
    </row>
    <row r="323" spans="1:7" ht="19.5" customHeight="1">
      <c r="A323" s="243"/>
      <c r="B323" s="243"/>
      <c r="C323" s="243"/>
      <c r="F323" s="243"/>
      <c r="G323" s="243"/>
    </row>
    <row r="324" spans="1:7" ht="19.5" customHeight="1">
      <c r="A324" s="243"/>
      <c r="B324" s="243"/>
      <c r="C324" s="243"/>
      <c r="F324" s="243"/>
      <c r="G324" s="243"/>
    </row>
    <row r="325" spans="1:7" ht="19.5" customHeight="1">
      <c r="A325" s="243"/>
      <c r="B325" s="243"/>
      <c r="C325" s="243"/>
      <c r="F325" s="243"/>
      <c r="G325" s="243"/>
    </row>
    <row r="326" spans="1:7" ht="19.5" customHeight="1">
      <c r="A326" s="243"/>
      <c r="B326" s="243"/>
      <c r="C326" s="243"/>
      <c r="F326" s="243"/>
      <c r="G326" s="243"/>
    </row>
    <row r="327" spans="1:7" ht="19.5" customHeight="1">
      <c r="A327" s="243"/>
      <c r="B327" s="243"/>
      <c r="C327" s="243"/>
      <c r="F327" s="243"/>
      <c r="G327" s="243"/>
    </row>
    <row r="328" spans="1:7" ht="19.5" customHeight="1">
      <c r="A328" s="243"/>
      <c r="B328" s="243"/>
      <c r="C328" s="243"/>
      <c r="F328" s="243"/>
      <c r="G328" s="243"/>
    </row>
    <row r="329" spans="1:7" ht="19.5" customHeight="1">
      <c r="A329" s="243"/>
      <c r="B329" s="243"/>
      <c r="C329" s="243"/>
      <c r="F329" s="243"/>
      <c r="G329" s="243"/>
    </row>
    <row r="330" spans="1:7" ht="19.5" customHeight="1">
      <c r="A330" s="243"/>
      <c r="B330" s="243"/>
      <c r="C330" s="243"/>
      <c r="F330" s="243"/>
      <c r="G330" s="243"/>
    </row>
    <row r="331" spans="1:7" ht="19.5" customHeight="1">
      <c r="A331" s="243"/>
      <c r="B331" s="243"/>
      <c r="C331" s="243"/>
      <c r="F331" s="243"/>
      <c r="G331" s="243"/>
    </row>
    <row r="332" spans="1:7" ht="19.5" customHeight="1">
      <c r="A332" s="243"/>
      <c r="B332" s="243"/>
      <c r="C332" s="243"/>
      <c r="F332" s="243"/>
      <c r="G332" s="243"/>
    </row>
    <row r="333" spans="1:7" ht="19.5" customHeight="1">
      <c r="A333" s="243"/>
      <c r="B333" s="243"/>
      <c r="C333" s="243"/>
      <c r="F333" s="243"/>
      <c r="G333" s="243"/>
    </row>
    <row r="334" spans="1:7" ht="19.5" customHeight="1">
      <c r="A334" s="243"/>
      <c r="B334" s="243"/>
      <c r="C334" s="243"/>
      <c r="F334" s="243"/>
      <c r="G334" s="243"/>
    </row>
    <row r="335" spans="1:7" ht="19.5" customHeight="1">
      <c r="A335" s="243"/>
      <c r="B335" s="243"/>
      <c r="C335" s="243"/>
      <c r="F335" s="243"/>
      <c r="G335" s="243"/>
    </row>
    <row r="336" spans="1:7" ht="19.5" customHeight="1">
      <c r="A336" s="243"/>
      <c r="B336" s="243"/>
      <c r="C336" s="243"/>
      <c r="F336" s="243"/>
      <c r="G336" s="243"/>
    </row>
    <row r="337" spans="1:7" ht="19.5" customHeight="1">
      <c r="A337" s="243"/>
      <c r="B337" s="243"/>
      <c r="C337" s="243"/>
      <c r="F337" s="243"/>
      <c r="G337" s="243"/>
    </row>
    <row r="338" spans="1:7" ht="19.5" customHeight="1">
      <c r="A338" s="243"/>
      <c r="B338" s="243"/>
      <c r="C338" s="243"/>
      <c r="F338" s="243"/>
      <c r="G338" s="243"/>
    </row>
    <row r="339" spans="1:7" ht="19.5" customHeight="1">
      <c r="A339" s="243"/>
      <c r="B339" s="243"/>
      <c r="C339" s="243"/>
      <c r="F339" s="243"/>
      <c r="G339" s="243"/>
    </row>
    <row r="340" spans="1:7" ht="19.5" customHeight="1">
      <c r="A340" s="243"/>
      <c r="B340" s="243"/>
      <c r="C340" s="243"/>
      <c r="F340" s="243"/>
      <c r="G340" s="243"/>
    </row>
    <row r="341" spans="1:7" ht="19.5" customHeight="1">
      <c r="A341" s="243"/>
      <c r="B341" s="243"/>
      <c r="C341" s="243"/>
      <c r="F341" s="243"/>
      <c r="G341" s="243"/>
    </row>
    <row r="342" spans="1:7" ht="19.5" customHeight="1">
      <c r="A342" s="243"/>
      <c r="B342" s="243"/>
      <c r="C342" s="243"/>
      <c r="F342" s="243"/>
      <c r="G342" s="243"/>
    </row>
    <row r="343" spans="1:7" ht="19.5" customHeight="1">
      <c r="A343" s="243"/>
      <c r="B343" s="243"/>
      <c r="C343" s="243"/>
      <c r="F343" s="243"/>
      <c r="G343" s="243"/>
    </row>
    <row r="344" spans="1:7" ht="19.5" customHeight="1">
      <c r="A344" s="243"/>
      <c r="B344" s="243"/>
      <c r="C344" s="243"/>
      <c r="F344" s="243"/>
      <c r="G344" s="243"/>
    </row>
    <row r="345" spans="1:7" ht="19.5" customHeight="1">
      <c r="A345" s="243"/>
      <c r="B345" s="243"/>
      <c r="C345" s="243"/>
      <c r="F345" s="243"/>
      <c r="G345" s="243"/>
    </row>
    <row r="346" spans="1:7" ht="19.5" customHeight="1">
      <c r="A346" s="243"/>
      <c r="B346" s="243"/>
      <c r="C346" s="243"/>
      <c r="F346" s="243"/>
      <c r="G346" s="243"/>
    </row>
    <row r="347" spans="1:7" ht="19.5" customHeight="1">
      <c r="A347" s="243"/>
      <c r="B347" s="243"/>
      <c r="C347" s="243"/>
      <c r="F347" s="243"/>
      <c r="G347" s="243"/>
    </row>
    <row r="348" spans="1:7" ht="19.5" customHeight="1">
      <c r="A348" s="243"/>
      <c r="B348" s="243"/>
      <c r="C348" s="243"/>
      <c r="F348" s="243"/>
      <c r="G348" s="243"/>
    </row>
    <row r="349" spans="1:7" ht="19.5" customHeight="1">
      <c r="A349" s="243"/>
      <c r="B349" s="243"/>
      <c r="C349" s="243"/>
      <c r="F349" s="243"/>
      <c r="G349" s="243"/>
    </row>
    <row r="350" spans="1:7" ht="19.5" customHeight="1">
      <c r="A350" s="243"/>
      <c r="B350" s="243"/>
      <c r="C350" s="243"/>
      <c r="F350" s="243"/>
      <c r="G350" s="243"/>
    </row>
    <row r="351" spans="1:7" ht="19.5" customHeight="1">
      <c r="A351" s="243"/>
      <c r="B351" s="243"/>
      <c r="C351" s="243"/>
      <c r="F351" s="243"/>
      <c r="G351" s="243"/>
    </row>
    <row r="352" spans="1:7" ht="19.5" customHeight="1">
      <c r="A352" s="243"/>
      <c r="B352" s="243"/>
      <c r="C352" s="243"/>
      <c r="F352" s="243"/>
      <c r="G352" s="243"/>
    </row>
    <row r="353" spans="1:7" ht="19.5" customHeight="1">
      <c r="A353" s="243"/>
      <c r="B353" s="243"/>
      <c r="C353" s="243"/>
      <c r="F353" s="243"/>
      <c r="G353" s="243"/>
    </row>
    <row r="354" spans="1:7" ht="19.5" customHeight="1">
      <c r="A354" s="243"/>
      <c r="B354" s="243"/>
      <c r="C354" s="243"/>
      <c r="F354" s="243"/>
      <c r="G354" s="243"/>
    </row>
    <row r="355" spans="1:7" ht="19.5" customHeight="1">
      <c r="A355" s="243"/>
      <c r="B355" s="243"/>
      <c r="C355" s="243"/>
      <c r="F355" s="243"/>
      <c r="G355" s="243"/>
    </row>
    <row r="356" spans="1:7" ht="19.5" customHeight="1">
      <c r="A356" s="243"/>
      <c r="B356" s="243"/>
      <c r="C356" s="243"/>
      <c r="F356" s="243"/>
      <c r="G356" s="243"/>
    </row>
    <row r="357" spans="1:7" ht="19.5" customHeight="1">
      <c r="A357" s="243"/>
      <c r="B357" s="243"/>
      <c r="C357" s="243"/>
      <c r="F357" s="243"/>
      <c r="G357" s="243"/>
    </row>
    <row r="358" spans="1:7" ht="19.5" customHeight="1">
      <c r="A358" s="243"/>
      <c r="B358" s="243"/>
      <c r="C358" s="243"/>
      <c r="F358" s="243"/>
      <c r="G358" s="243"/>
    </row>
    <row r="359" spans="1:7" ht="19.5" customHeight="1">
      <c r="A359" s="243"/>
      <c r="B359" s="243"/>
      <c r="C359" s="243"/>
      <c r="F359" s="243"/>
      <c r="G359" s="243"/>
    </row>
    <row r="360" spans="1:7" ht="19.5" customHeight="1">
      <c r="A360" s="243"/>
      <c r="B360" s="243"/>
      <c r="C360" s="243"/>
      <c r="F360" s="243"/>
      <c r="G360" s="243"/>
    </row>
    <row r="361" spans="1:7" ht="19.5" customHeight="1">
      <c r="A361" s="243"/>
      <c r="B361" s="243"/>
      <c r="C361" s="243"/>
      <c r="F361" s="243"/>
      <c r="G361" s="243"/>
    </row>
    <row r="362" spans="1:7" ht="19.5" customHeight="1">
      <c r="A362" s="243"/>
      <c r="B362" s="243"/>
      <c r="C362" s="243"/>
      <c r="F362" s="243"/>
      <c r="G362" s="243"/>
    </row>
    <row r="363" spans="1:7" ht="19.5" customHeight="1">
      <c r="A363" s="243"/>
      <c r="B363" s="243"/>
      <c r="C363" s="243"/>
      <c r="F363" s="243"/>
      <c r="G363" s="243"/>
    </row>
    <row r="364" spans="1:7" ht="19.5" customHeight="1">
      <c r="A364" s="243"/>
      <c r="B364" s="243"/>
      <c r="C364" s="243"/>
      <c r="F364" s="243"/>
      <c r="G364" s="243"/>
    </row>
    <row r="365" spans="1:7" ht="19.5" customHeight="1">
      <c r="A365" s="243"/>
      <c r="B365" s="243"/>
      <c r="C365" s="243"/>
      <c r="F365" s="243"/>
      <c r="G365" s="243"/>
    </row>
    <row r="366" spans="1:7" ht="19.5" customHeight="1">
      <c r="A366" s="243"/>
      <c r="B366" s="243"/>
      <c r="C366" s="243"/>
      <c r="F366" s="243"/>
      <c r="G366" s="243"/>
    </row>
    <row r="367" spans="1:7" ht="19.5" customHeight="1">
      <c r="A367" s="243"/>
      <c r="B367" s="243"/>
      <c r="C367" s="243"/>
      <c r="F367" s="243"/>
      <c r="G367" s="243"/>
    </row>
    <row r="368" spans="1:7" ht="19.5" customHeight="1">
      <c r="A368" s="243"/>
      <c r="B368" s="243"/>
      <c r="C368" s="243"/>
      <c r="F368" s="243"/>
      <c r="G368" s="243"/>
    </row>
    <row r="369" spans="1:7" ht="19.5" customHeight="1">
      <c r="A369" s="243"/>
      <c r="B369" s="243"/>
      <c r="C369" s="243"/>
      <c r="F369" s="243"/>
      <c r="G369" s="243"/>
    </row>
    <row r="370" spans="1:7" ht="19.5" customHeight="1">
      <c r="A370" s="243"/>
      <c r="B370" s="243"/>
      <c r="C370" s="243"/>
      <c r="F370" s="243"/>
      <c r="G370" s="243"/>
    </row>
    <row r="371" spans="1:7" ht="19.5" customHeight="1">
      <c r="A371" s="243"/>
      <c r="B371" s="243"/>
      <c r="C371" s="243"/>
      <c r="F371" s="243"/>
      <c r="G371" s="243"/>
    </row>
    <row r="372" spans="1:7" ht="19.5" customHeight="1">
      <c r="A372" s="243"/>
      <c r="B372" s="243"/>
      <c r="C372" s="243"/>
      <c r="F372" s="243"/>
      <c r="G372" s="243"/>
    </row>
    <row r="373" spans="1:7" ht="19.5" customHeight="1">
      <c r="A373" s="243"/>
      <c r="B373" s="243"/>
      <c r="C373" s="243"/>
      <c r="F373" s="243"/>
      <c r="G373" s="243"/>
    </row>
    <row r="374" spans="1:7" ht="19.5" customHeight="1">
      <c r="A374" s="243"/>
      <c r="B374" s="243"/>
      <c r="C374" s="243"/>
      <c r="F374" s="243"/>
      <c r="G374" s="243"/>
    </row>
    <row r="375" spans="1:7" ht="19.5" customHeight="1">
      <c r="A375" s="243"/>
      <c r="B375" s="243"/>
      <c r="C375" s="243"/>
      <c r="F375" s="243"/>
      <c r="G375" s="243"/>
    </row>
    <row r="376" spans="1:7" ht="19.5" customHeight="1">
      <c r="A376" s="243"/>
      <c r="B376" s="243"/>
      <c r="C376" s="243"/>
      <c r="F376" s="243"/>
      <c r="G376" s="243"/>
    </row>
    <row r="377" spans="1:7" ht="19.5" customHeight="1">
      <c r="A377" s="243"/>
      <c r="B377" s="243"/>
      <c r="C377" s="243"/>
      <c r="F377" s="243"/>
      <c r="G377" s="243"/>
    </row>
    <row r="378" spans="1:7" ht="19.5" customHeight="1">
      <c r="A378" s="243"/>
      <c r="B378" s="243"/>
      <c r="C378" s="243"/>
      <c r="F378" s="243"/>
      <c r="G378" s="243"/>
    </row>
    <row r="379" spans="1:7" ht="19.5" customHeight="1">
      <c r="A379" s="243"/>
      <c r="B379" s="243"/>
      <c r="C379" s="243"/>
      <c r="F379" s="243"/>
      <c r="G379" s="243"/>
    </row>
    <row r="380" spans="1:7" ht="19.5" customHeight="1">
      <c r="A380" s="243"/>
      <c r="B380" s="243"/>
      <c r="C380" s="243"/>
      <c r="F380" s="243"/>
      <c r="G380" s="243"/>
    </row>
    <row r="381" spans="1:7" ht="19.5" customHeight="1">
      <c r="A381" s="243"/>
      <c r="B381" s="243"/>
      <c r="C381" s="243"/>
      <c r="F381" s="243"/>
      <c r="G381" s="243"/>
    </row>
    <row r="382" spans="1:7" ht="19.5" customHeight="1">
      <c r="A382" s="243"/>
      <c r="B382" s="243"/>
      <c r="C382" s="243"/>
      <c r="F382" s="243"/>
      <c r="G382" s="243"/>
    </row>
    <row r="383" spans="1:7" ht="19.5" customHeight="1">
      <c r="A383" s="243"/>
      <c r="B383" s="243"/>
      <c r="C383" s="243"/>
      <c r="F383" s="243"/>
      <c r="G383" s="243"/>
    </row>
    <row r="384" spans="1:7" ht="19.5" customHeight="1">
      <c r="A384" s="243"/>
      <c r="B384" s="243"/>
      <c r="C384" s="243"/>
      <c r="F384" s="243"/>
      <c r="G384" s="243"/>
    </row>
    <row r="385" spans="1:7" ht="19.5" customHeight="1">
      <c r="A385" s="243"/>
      <c r="B385" s="243"/>
      <c r="C385" s="243"/>
      <c r="F385" s="243"/>
      <c r="G385" s="243"/>
    </row>
    <row r="386" spans="1:7" ht="19.5" customHeight="1">
      <c r="A386" s="243"/>
      <c r="B386" s="243"/>
      <c r="C386" s="243"/>
      <c r="F386" s="243"/>
      <c r="G386" s="243"/>
    </row>
    <row r="387" spans="1:7" ht="19.5" customHeight="1">
      <c r="A387" s="243"/>
      <c r="B387" s="243"/>
      <c r="C387" s="243"/>
      <c r="F387" s="243"/>
      <c r="G387" s="243"/>
    </row>
    <row r="388" spans="1:7" ht="19.5" customHeight="1">
      <c r="A388" s="243"/>
      <c r="B388" s="243"/>
      <c r="C388" s="243"/>
      <c r="F388" s="243"/>
      <c r="G388" s="243"/>
    </row>
    <row r="389" spans="1:7" ht="19.5" customHeight="1">
      <c r="A389" s="243"/>
      <c r="B389" s="243"/>
      <c r="C389" s="243"/>
      <c r="F389" s="243"/>
      <c r="G389" s="243"/>
    </row>
    <row r="390" spans="1:7" ht="19.5" customHeight="1">
      <c r="A390" s="243"/>
      <c r="B390" s="243"/>
      <c r="C390" s="243"/>
      <c r="F390" s="243"/>
      <c r="G390" s="243"/>
    </row>
    <row r="391" spans="1:7" ht="19.5" customHeight="1">
      <c r="A391" s="243"/>
      <c r="B391" s="243"/>
      <c r="C391" s="243"/>
      <c r="F391" s="243"/>
      <c r="G391" s="243"/>
    </row>
    <row r="392" spans="1:7" ht="19.5" customHeight="1">
      <c r="A392" s="243"/>
      <c r="B392" s="243"/>
      <c r="C392" s="243"/>
      <c r="F392" s="243"/>
      <c r="G392" s="243"/>
    </row>
    <row r="393" spans="1:7" ht="19.5" customHeight="1">
      <c r="A393" s="243"/>
      <c r="B393" s="243"/>
      <c r="C393" s="243"/>
      <c r="F393" s="243"/>
      <c r="G393" s="243"/>
    </row>
    <row r="394" spans="1:7" ht="19.5" customHeight="1">
      <c r="A394" s="243"/>
      <c r="B394" s="243"/>
      <c r="C394" s="243"/>
      <c r="F394" s="243"/>
      <c r="G394" s="243"/>
    </row>
    <row r="395" spans="1:7" ht="19.5" customHeight="1">
      <c r="A395" s="243"/>
      <c r="B395" s="243"/>
      <c r="C395" s="243"/>
      <c r="F395" s="243"/>
      <c r="G395" s="243"/>
    </row>
    <row r="396" spans="1:7" ht="19.5" customHeight="1">
      <c r="A396" s="243"/>
      <c r="B396" s="243"/>
      <c r="C396" s="243"/>
      <c r="F396" s="243"/>
      <c r="G396" s="243"/>
    </row>
    <row r="397" spans="1:7" ht="19.5" customHeight="1">
      <c r="A397" s="243"/>
      <c r="B397" s="243"/>
      <c r="C397" s="243"/>
      <c r="F397" s="243"/>
      <c r="G397" s="243"/>
    </row>
    <row r="398" spans="1:7" ht="19.5" customHeight="1">
      <c r="A398" s="243"/>
      <c r="B398" s="243"/>
      <c r="C398" s="243"/>
      <c r="F398" s="243"/>
      <c r="G398" s="243"/>
    </row>
    <row r="399" spans="1:7" ht="19.5" customHeight="1">
      <c r="A399" s="243"/>
      <c r="B399" s="243"/>
      <c r="C399" s="243"/>
      <c r="F399" s="243"/>
      <c r="G399" s="243"/>
    </row>
    <row r="400" spans="1:7" ht="19.5" customHeight="1">
      <c r="A400" s="243"/>
      <c r="B400" s="243"/>
      <c r="C400" s="243"/>
      <c r="F400" s="243"/>
      <c r="G400" s="243"/>
    </row>
    <row r="401" spans="1:7" ht="19.5" customHeight="1">
      <c r="A401" s="243"/>
      <c r="B401" s="243"/>
      <c r="C401" s="243"/>
      <c r="F401" s="243"/>
      <c r="G401" s="243"/>
    </row>
    <row r="402" spans="1:7" ht="19.5" customHeight="1">
      <c r="A402" s="243"/>
      <c r="B402" s="243"/>
      <c r="C402" s="243"/>
      <c r="F402" s="243"/>
      <c r="G402" s="243"/>
    </row>
    <row r="403" spans="1:7" ht="19.5" customHeight="1">
      <c r="A403" s="243"/>
      <c r="B403" s="243"/>
      <c r="C403" s="243"/>
      <c r="F403" s="243"/>
      <c r="G403" s="243"/>
    </row>
    <row r="404" spans="1:7" ht="19.5" customHeight="1">
      <c r="A404" s="243"/>
      <c r="B404" s="243"/>
      <c r="C404" s="243"/>
      <c r="F404" s="243"/>
      <c r="G404" s="243"/>
    </row>
    <row r="405" spans="1:7" ht="19.5" customHeight="1">
      <c r="A405" s="243"/>
      <c r="B405" s="243"/>
      <c r="C405" s="243"/>
      <c r="F405" s="243"/>
      <c r="G405" s="243"/>
    </row>
    <row r="406" spans="1:7" ht="19.5" customHeight="1">
      <c r="A406" s="243"/>
      <c r="B406" s="243"/>
      <c r="C406" s="243"/>
      <c r="F406" s="243"/>
      <c r="G406" s="243"/>
    </row>
    <row r="407" spans="1:7" ht="19.5" customHeight="1">
      <c r="A407" s="243"/>
      <c r="B407" s="243"/>
      <c r="C407" s="243"/>
      <c r="F407" s="243"/>
      <c r="G407" s="243"/>
    </row>
    <row r="408" spans="1:7" ht="19.5" customHeight="1">
      <c r="A408" s="243"/>
      <c r="B408" s="243"/>
      <c r="C408" s="243"/>
      <c r="F408" s="243"/>
      <c r="G408" s="243"/>
    </row>
    <row r="409" spans="1:7" ht="19.5" customHeight="1">
      <c r="A409" s="243"/>
      <c r="B409" s="243"/>
      <c r="C409" s="243"/>
      <c r="F409" s="243"/>
      <c r="G409" s="243"/>
    </row>
    <row r="410" spans="1:7" ht="19.5" customHeight="1">
      <c r="A410" s="243"/>
      <c r="B410" s="243"/>
      <c r="C410" s="243"/>
      <c r="F410" s="243"/>
      <c r="G410" s="243"/>
    </row>
    <row r="411" spans="1:7" ht="19.5" customHeight="1">
      <c r="A411" s="243"/>
      <c r="B411" s="243"/>
      <c r="C411" s="243"/>
      <c r="F411" s="243"/>
      <c r="G411" s="243"/>
    </row>
    <row r="412" spans="1:7" ht="19.5" customHeight="1">
      <c r="A412" s="243"/>
      <c r="B412" s="243"/>
      <c r="C412" s="243"/>
      <c r="F412" s="243"/>
      <c r="G412" s="243"/>
    </row>
    <row r="413" spans="1:7" ht="19.5" customHeight="1">
      <c r="A413" s="243"/>
      <c r="B413" s="243"/>
      <c r="C413" s="243"/>
      <c r="F413" s="243"/>
      <c r="G413" s="243"/>
    </row>
    <row r="414" spans="1:7" ht="19.5" customHeight="1">
      <c r="A414" s="243"/>
      <c r="B414" s="243"/>
      <c r="C414" s="243"/>
      <c r="F414" s="243"/>
      <c r="G414" s="243"/>
    </row>
    <row r="415" spans="1:7" ht="19.5" customHeight="1">
      <c r="A415" s="243"/>
      <c r="B415" s="243"/>
      <c r="C415" s="243"/>
      <c r="F415" s="243"/>
      <c r="G415" s="243"/>
    </row>
    <row r="416" spans="1:7" ht="19.5" customHeight="1">
      <c r="A416" s="243"/>
      <c r="B416" s="243"/>
      <c r="C416" s="243"/>
      <c r="F416" s="243"/>
      <c r="G416" s="243"/>
    </row>
    <row r="417" spans="1:7" ht="19.5" customHeight="1">
      <c r="A417" s="243"/>
      <c r="B417" s="243"/>
      <c r="C417" s="243"/>
      <c r="F417" s="243"/>
      <c r="G417" s="243"/>
    </row>
    <row r="418" spans="1:7" ht="19.5" customHeight="1">
      <c r="A418" s="243"/>
      <c r="B418" s="243"/>
      <c r="C418" s="243"/>
      <c r="F418" s="243"/>
      <c r="G418" s="243"/>
    </row>
    <row r="419" spans="1:7" ht="19.5" customHeight="1">
      <c r="A419" s="243"/>
      <c r="B419" s="243"/>
      <c r="C419" s="243"/>
      <c r="F419" s="243"/>
      <c r="G419" s="243"/>
    </row>
    <row r="420" spans="1:7" ht="19.5" customHeight="1">
      <c r="A420" s="243"/>
      <c r="B420" s="243"/>
      <c r="C420" s="243"/>
      <c r="F420" s="243"/>
      <c r="G420" s="243"/>
    </row>
    <row r="421" spans="1:7" ht="19.5" customHeight="1">
      <c r="A421" s="243"/>
      <c r="B421" s="243"/>
      <c r="C421" s="243"/>
      <c r="F421" s="243"/>
      <c r="G421" s="243"/>
    </row>
    <row r="422" spans="1:7" ht="19.5" customHeight="1">
      <c r="A422" s="243"/>
      <c r="B422" s="243"/>
      <c r="C422" s="243"/>
      <c r="F422" s="243"/>
      <c r="G422" s="243"/>
    </row>
    <row r="423" spans="1:7" ht="19.5" customHeight="1">
      <c r="A423" s="243"/>
      <c r="B423" s="243"/>
      <c r="C423" s="243"/>
      <c r="F423" s="243"/>
      <c r="G423" s="243"/>
    </row>
    <row r="424" spans="1:7" ht="19.5" customHeight="1">
      <c r="A424" s="243"/>
      <c r="B424" s="243"/>
      <c r="C424" s="243"/>
      <c r="F424" s="243"/>
      <c r="G424" s="243"/>
    </row>
    <row r="425" spans="1:7" ht="19.5" customHeight="1">
      <c r="A425" s="243"/>
      <c r="B425" s="243"/>
      <c r="C425" s="243"/>
      <c r="F425" s="243"/>
      <c r="G425" s="243"/>
    </row>
    <row r="426" spans="1:7" ht="19.5" customHeight="1">
      <c r="A426" s="243"/>
      <c r="B426" s="243"/>
      <c r="C426" s="243"/>
      <c r="F426" s="243"/>
      <c r="G426" s="243"/>
    </row>
    <row r="427" spans="1:7" ht="19.5" customHeight="1">
      <c r="A427" s="243"/>
      <c r="B427" s="243"/>
      <c r="C427" s="243"/>
      <c r="F427" s="243"/>
      <c r="G427" s="243"/>
    </row>
    <row r="428" spans="1:7" ht="19.5" customHeight="1">
      <c r="A428" s="243"/>
      <c r="B428" s="243"/>
      <c r="C428" s="243"/>
      <c r="F428" s="243"/>
      <c r="G428" s="243"/>
    </row>
    <row r="429" spans="1:7" ht="19.5" customHeight="1">
      <c r="A429" s="243"/>
      <c r="B429" s="243"/>
      <c r="C429" s="243"/>
      <c r="F429" s="243"/>
      <c r="G429" s="243"/>
    </row>
    <row r="430" spans="1:7" ht="19.5" customHeight="1">
      <c r="A430" s="243"/>
      <c r="B430" s="243"/>
      <c r="C430" s="243"/>
      <c r="F430" s="243"/>
      <c r="G430" s="243"/>
    </row>
    <row r="431" spans="1:7" ht="19.5" customHeight="1">
      <c r="A431" s="243"/>
      <c r="B431" s="243"/>
      <c r="C431" s="243"/>
      <c r="F431" s="243"/>
      <c r="G431" s="243"/>
    </row>
    <row r="432" spans="1:7" ht="19.5" customHeight="1">
      <c r="A432" s="243"/>
      <c r="B432" s="243"/>
      <c r="C432" s="243"/>
      <c r="F432" s="243"/>
      <c r="G432" s="243"/>
    </row>
    <row r="433" spans="1:7" ht="19.5" customHeight="1">
      <c r="A433" s="243"/>
      <c r="B433" s="243"/>
      <c r="C433" s="243"/>
      <c r="F433" s="243"/>
      <c r="G433" s="243"/>
    </row>
    <row r="434" spans="1:7" ht="19.5" customHeight="1">
      <c r="A434" s="243"/>
      <c r="B434" s="243"/>
      <c r="C434" s="243"/>
      <c r="F434" s="243"/>
      <c r="G434" s="243"/>
    </row>
    <row r="435" spans="1:7" ht="19.5" customHeight="1">
      <c r="A435" s="243"/>
      <c r="B435" s="243"/>
      <c r="C435" s="243"/>
      <c r="F435" s="243"/>
      <c r="G435" s="243"/>
    </row>
    <row r="436" spans="1:7" ht="19.5" customHeight="1">
      <c r="A436" s="243"/>
      <c r="B436" s="243"/>
      <c r="C436" s="243"/>
      <c r="F436" s="243"/>
      <c r="G436" s="243"/>
    </row>
    <row r="437" spans="1:7" ht="19.5" customHeight="1">
      <c r="A437" s="243"/>
      <c r="B437" s="243"/>
      <c r="C437" s="243"/>
      <c r="F437" s="243"/>
      <c r="G437" s="243"/>
    </row>
    <row r="438" spans="1:7" ht="19.5" customHeight="1">
      <c r="A438" s="243"/>
      <c r="B438" s="243"/>
      <c r="C438" s="243"/>
      <c r="F438" s="243"/>
      <c r="G438" s="243"/>
    </row>
    <row r="439" spans="1:7" ht="19.5" customHeight="1">
      <c r="A439" s="243"/>
      <c r="B439" s="243"/>
      <c r="C439" s="243"/>
      <c r="F439" s="243"/>
      <c r="G439" s="243"/>
    </row>
    <row r="440" spans="1:7" ht="19.5" customHeight="1">
      <c r="A440" s="243"/>
      <c r="B440" s="243"/>
      <c r="C440" s="243"/>
      <c r="F440" s="243"/>
      <c r="G440" s="243"/>
    </row>
    <row r="441" spans="1:7" ht="19.5" customHeight="1">
      <c r="A441" s="243"/>
      <c r="B441" s="243"/>
      <c r="C441" s="243"/>
      <c r="F441" s="243"/>
      <c r="G441" s="243"/>
    </row>
    <row r="442" spans="1:7" ht="19.5" customHeight="1">
      <c r="A442" s="243"/>
      <c r="B442" s="243"/>
      <c r="C442" s="243"/>
      <c r="F442" s="243"/>
      <c r="G442" s="243"/>
    </row>
    <row r="443" spans="1:7" ht="19.5" customHeight="1">
      <c r="A443" s="243"/>
      <c r="B443" s="243"/>
      <c r="C443" s="243"/>
      <c r="F443" s="243"/>
      <c r="G443" s="243"/>
    </row>
    <row r="444" spans="1:7" ht="19.5" customHeight="1">
      <c r="A444" s="243"/>
      <c r="B444" s="243"/>
      <c r="C444" s="243"/>
      <c r="F444" s="243"/>
      <c r="G444" s="243"/>
    </row>
    <row r="445" spans="1:7" ht="19.5" customHeight="1">
      <c r="A445" s="243"/>
      <c r="B445" s="243"/>
      <c r="C445" s="243"/>
      <c r="F445" s="243"/>
      <c r="G445" s="243"/>
    </row>
    <row r="446" spans="1:7" ht="19.5" customHeight="1">
      <c r="A446" s="243"/>
      <c r="B446" s="243"/>
      <c r="C446" s="243"/>
      <c r="F446" s="243"/>
      <c r="G446" s="243"/>
    </row>
    <row r="447" spans="1:7" ht="19.5" customHeight="1">
      <c r="A447" s="243"/>
      <c r="B447" s="243"/>
      <c r="C447" s="243"/>
      <c r="F447" s="243"/>
      <c r="G447" s="243"/>
    </row>
    <row r="448" spans="1:7" ht="19.5" customHeight="1">
      <c r="A448" s="243"/>
      <c r="B448" s="243"/>
      <c r="C448" s="243"/>
      <c r="F448" s="243"/>
      <c r="G448" s="243"/>
    </row>
    <row r="449" spans="1:7" ht="19.5" customHeight="1">
      <c r="A449" s="243"/>
      <c r="B449" s="243"/>
      <c r="C449" s="243"/>
      <c r="F449" s="243"/>
      <c r="G449" s="243"/>
    </row>
    <row r="450" spans="1:7" ht="19.5" customHeight="1">
      <c r="A450" s="243"/>
      <c r="B450" s="243"/>
      <c r="C450" s="243"/>
      <c r="F450" s="243"/>
      <c r="G450" s="243"/>
    </row>
    <row r="451" spans="1:7" ht="19.5" customHeight="1">
      <c r="A451" s="243"/>
      <c r="B451" s="243"/>
      <c r="C451" s="243"/>
      <c r="F451" s="243"/>
      <c r="G451" s="243"/>
    </row>
    <row r="452" spans="1:7" ht="19.5" customHeight="1">
      <c r="A452" s="243"/>
      <c r="B452" s="243"/>
      <c r="C452" s="243"/>
      <c r="F452" s="243"/>
      <c r="G452" s="243"/>
    </row>
    <row r="453" spans="1:7" ht="19.5" customHeight="1">
      <c r="A453" s="243"/>
      <c r="B453" s="243"/>
      <c r="C453" s="243"/>
      <c r="F453" s="243"/>
      <c r="G453" s="243"/>
    </row>
    <row r="454" spans="1:7" ht="19.5" customHeight="1">
      <c r="A454" s="243"/>
      <c r="B454" s="243"/>
      <c r="C454" s="243"/>
      <c r="F454" s="243"/>
      <c r="G454" s="243"/>
    </row>
    <row r="455" spans="1:7" ht="19.5" customHeight="1">
      <c r="A455" s="243"/>
      <c r="B455" s="243"/>
      <c r="C455" s="243"/>
      <c r="F455" s="243"/>
      <c r="G455" s="243"/>
    </row>
    <row r="456" spans="1:7" ht="19.5" customHeight="1">
      <c r="A456" s="243"/>
      <c r="B456" s="243"/>
      <c r="C456" s="243"/>
      <c r="F456" s="243"/>
      <c r="G456" s="243"/>
    </row>
    <row r="457" spans="1:7" ht="19.5" customHeight="1">
      <c r="A457" s="243"/>
      <c r="B457" s="243"/>
      <c r="C457" s="243"/>
      <c r="F457" s="243"/>
      <c r="G457" s="243"/>
    </row>
    <row r="458" spans="1:7" ht="19.5" customHeight="1">
      <c r="A458" s="243"/>
      <c r="B458" s="243"/>
      <c r="C458" s="243"/>
      <c r="F458" s="243"/>
      <c r="G458" s="243"/>
    </row>
    <row r="459" spans="1:7" ht="19.5" customHeight="1">
      <c r="A459" s="243"/>
      <c r="B459" s="243"/>
      <c r="C459" s="243"/>
      <c r="F459" s="243"/>
      <c r="G459" s="243"/>
    </row>
    <row r="460" spans="1:7" ht="19.5" customHeight="1">
      <c r="A460" s="243"/>
      <c r="B460" s="243"/>
      <c r="C460" s="243"/>
      <c r="F460" s="243"/>
      <c r="G460" s="243"/>
    </row>
    <row r="461" spans="1:7" ht="19.5" customHeight="1">
      <c r="A461" s="243"/>
      <c r="B461" s="243"/>
      <c r="C461" s="243"/>
      <c r="F461" s="243"/>
      <c r="G461" s="243"/>
    </row>
    <row r="462" spans="1:7" ht="19.5" customHeight="1">
      <c r="A462" s="243"/>
      <c r="B462" s="243"/>
      <c r="C462" s="243"/>
      <c r="F462" s="243"/>
      <c r="G462" s="243"/>
    </row>
    <row r="463" spans="1:7" ht="19.5" customHeight="1">
      <c r="A463" s="243"/>
      <c r="B463" s="243"/>
      <c r="C463" s="243"/>
      <c r="F463" s="243"/>
      <c r="G463" s="243"/>
    </row>
    <row r="464" spans="1:7" ht="19.5" customHeight="1">
      <c r="A464" s="243"/>
      <c r="B464" s="243"/>
      <c r="C464" s="243"/>
      <c r="F464" s="243"/>
      <c r="G464" s="243"/>
    </row>
    <row r="465" spans="1:7" ht="19.5" customHeight="1">
      <c r="A465" s="243"/>
      <c r="B465" s="243"/>
      <c r="C465" s="243"/>
      <c r="F465" s="243"/>
      <c r="G465" s="243"/>
    </row>
    <row r="466" spans="1:7" ht="19.5" customHeight="1">
      <c r="A466" s="243"/>
      <c r="B466" s="243"/>
      <c r="C466" s="243"/>
      <c r="F466" s="243"/>
      <c r="G466" s="243"/>
    </row>
    <row r="467" spans="1:7" ht="19.5" customHeight="1">
      <c r="A467" s="243"/>
      <c r="B467" s="243"/>
      <c r="C467" s="243"/>
      <c r="F467" s="243"/>
      <c r="G467" s="243"/>
    </row>
    <row r="468" spans="1:7" ht="19.5" customHeight="1">
      <c r="A468" s="243"/>
      <c r="B468" s="243"/>
      <c r="C468" s="243"/>
      <c r="F468" s="243"/>
      <c r="G468" s="243"/>
    </row>
    <row r="469" spans="1:7" ht="19.5" customHeight="1">
      <c r="A469" s="243"/>
      <c r="B469" s="243"/>
      <c r="C469" s="243"/>
      <c r="F469" s="243"/>
      <c r="G469" s="243"/>
    </row>
    <row r="470" spans="1:7" ht="19.5" customHeight="1">
      <c r="A470" s="243"/>
      <c r="B470" s="243"/>
      <c r="C470" s="243"/>
      <c r="F470" s="243"/>
      <c r="G470" s="243"/>
    </row>
    <row r="471" spans="1:7" ht="19.5" customHeight="1">
      <c r="A471" s="243"/>
      <c r="B471" s="243"/>
      <c r="C471" s="243"/>
      <c r="F471" s="243"/>
      <c r="G471" s="243"/>
    </row>
    <row r="472" spans="1:7" ht="19.5" customHeight="1">
      <c r="A472" s="243"/>
      <c r="B472" s="243"/>
      <c r="C472" s="243"/>
      <c r="F472" s="243"/>
      <c r="G472" s="243"/>
    </row>
    <row r="473" spans="1:7" ht="19.5" customHeight="1">
      <c r="A473" s="243"/>
      <c r="B473" s="243"/>
      <c r="C473" s="243"/>
      <c r="F473" s="243"/>
      <c r="G473" s="243"/>
    </row>
    <row r="474" spans="1:7" ht="19.5" customHeight="1">
      <c r="A474" s="243"/>
      <c r="B474" s="243"/>
      <c r="C474" s="243"/>
      <c r="F474" s="243"/>
      <c r="G474" s="243"/>
    </row>
    <row r="475" spans="1:7" ht="19.5" customHeight="1">
      <c r="A475" s="243"/>
      <c r="B475" s="243"/>
      <c r="C475" s="243"/>
      <c r="F475" s="243"/>
      <c r="G475" s="243"/>
    </row>
    <row r="476" spans="1:7" ht="19.5" customHeight="1">
      <c r="A476" s="243"/>
      <c r="B476" s="243"/>
      <c r="C476" s="243"/>
      <c r="F476" s="243"/>
      <c r="G476" s="243"/>
    </row>
    <row r="477" spans="1:7" ht="19.5" customHeight="1">
      <c r="A477" s="243"/>
      <c r="B477" s="243"/>
      <c r="C477" s="243"/>
      <c r="F477" s="243"/>
      <c r="G477" s="243"/>
    </row>
    <row r="478" spans="1:7" ht="19.5" customHeight="1">
      <c r="A478" s="243"/>
      <c r="B478" s="243"/>
      <c r="C478" s="243"/>
      <c r="F478" s="243"/>
      <c r="G478" s="243"/>
    </row>
    <row r="479" spans="1:7" ht="19.5" customHeight="1">
      <c r="A479" s="243"/>
      <c r="B479" s="243"/>
      <c r="C479" s="243"/>
      <c r="F479" s="243"/>
      <c r="G479" s="243"/>
    </row>
    <row r="480" spans="1:7" ht="19.5" customHeight="1">
      <c r="A480" s="243"/>
      <c r="B480" s="243"/>
      <c r="C480" s="243"/>
      <c r="F480" s="243"/>
      <c r="G480" s="243"/>
    </row>
    <row r="481" spans="1:7" ht="19.5" customHeight="1">
      <c r="A481" s="243"/>
      <c r="B481" s="243"/>
      <c r="C481" s="243"/>
      <c r="F481" s="243"/>
      <c r="G481" s="243"/>
    </row>
    <row r="482" spans="1:7" ht="19.5" customHeight="1">
      <c r="A482" s="243"/>
      <c r="B482" s="243"/>
      <c r="C482" s="243"/>
      <c r="F482" s="243"/>
      <c r="G482" s="243"/>
    </row>
    <row r="483" spans="1:7" ht="19.5" customHeight="1">
      <c r="A483" s="243"/>
      <c r="B483" s="243"/>
      <c r="C483" s="243"/>
      <c r="F483" s="243"/>
      <c r="G483" s="243"/>
    </row>
    <row r="484" spans="1:7" ht="19.5" customHeight="1">
      <c r="A484" s="243"/>
      <c r="B484" s="243"/>
      <c r="C484" s="243"/>
      <c r="F484" s="243"/>
      <c r="G484" s="243"/>
    </row>
    <row r="485" spans="1:7" ht="19.5" customHeight="1">
      <c r="A485" s="243"/>
      <c r="B485" s="243"/>
      <c r="C485" s="243"/>
      <c r="F485" s="243"/>
      <c r="G485" s="243"/>
    </row>
    <row r="486" spans="1:7" ht="19.5" customHeight="1">
      <c r="A486" s="243"/>
      <c r="B486" s="243"/>
      <c r="C486" s="243"/>
      <c r="F486" s="243"/>
      <c r="G486" s="243"/>
    </row>
    <row r="487" spans="1:7" ht="19.5" customHeight="1">
      <c r="A487" s="243"/>
      <c r="B487" s="243"/>
      <c r="C487" s="243"/>
      <c r="F487" s="243"/>
      <c r="G487" s="243"/>
    </row>
    <row r="488" spans="1:7" ht="19.5" customHeight="1">
      <c r="A488" s="243"/>
      <c r="B488" s="243"/>
      <c r="C488" s="243"/>
      <c r="F488" s="243"/>
      <c r="G488" s="243"/>
    </row>
    <row r="489" spans="1:7" ht="19.5" customHeight="1">
      <c r="A489" s="243"/>
      <c r="B489" s="243"/>
      <c r="C489" s="243"/>
      <c r="F489" s="243"/>
      <c r="G489" s="243"/>
    </row>
    <row r="490" spans="1:7" ht="19.5" customHeight="1">
      <c r="A490" s="243"/>
      <c r="B490" s="243"/>
      <c r="C490" s="243"/>
      <c r="F490" s="243"/>
      <c r="G490" s="243"/>
    </row>
    <row r="491" spans="1:7" ht="19.5" customHeight="1">
      <c r="A491" s="243"/>
      <c r="B491" s="243"/>
      <c r="C491" s="243"/>
      <c r="F491" s="243"/>
      <c r="G491" s="243"/>
    </row>
    <row r="492" spans="1:7" ht="19.5" customHeight="1">
      <c r="A492" s="243"/>
      <c r="B492" s="243"/>
      <c r="C492" s="243"/>
      <c r="F492" s="243"/>
      <c r="G492" s="243"/>
    </row>
    <row r="493" spans="1:7" ht="19.5" customHeight="1">
      <c r="A493" s="243"/>
      <c r="B493" s="243"/>
      <c r="C493" s="243"/>
      <c r="F493" s="243"/>
      <c r="G493" s="243"/>
    </row>
    <row r="494" spans="1:7" ht="19.5" customHeight="1">
      <c r="A494" s="243"/>
      <c r="B494" s="243"/>
      <c r="C494" s="243"/>
      <c r="F494" s="243"/>
      <c r="G494" s="243"/>
    </row>
    <row r="495" spans="1:7" ht="19.5" customHeight="1">
      <c r="A495" s="243"/>
      <c r="B495" s="243"/>
      <c r="C495" s="243"/>
      <c r="F495" s="243"/>
      <c r="G495" s="243"/>
    </row>
    <row r="496" spans="1:7" ht="19.5" customHeight="1">
      <c r="A496" s="243"/>
      <c r="B496" s="243"/>
      <c r="C496" s="243"/>
      <c r="F496" s="243"/>
      <c r="G496" s="243"/>
    </row>
    <row r="497" spans="1:7" ht="19.5" customHeight="1">
      <c r="A497" s="243"/>
      <c r="B497" s="243"/>
      <c r="C497" s="243"/>
      <c r="F497" s="243"/>
      <c r="G497" s="243"/>
    </row>
    <row r="498" spans="1:7" ht="19.5" customHeight="1">
      <c r="A498" s="243"/>
      <c r="B498" s="243"/>
      <c r="C498" s="243"/>
      <c r="F498" s="243"/>
      <c r="G498" s="243"/>
    </row>
    <row r="499" spans="1:7" ht="19.5" customHeight="1">
      <c r="A499" s="243"/>
      <c r="B499" s="243"/>
      <c r="C499" s="243"/>
      <c r="F499" s="243"/>
      <c r="G499" s="243"/>
    </row>
    <row r="500" spans="1:7" ht="19.5" customHeight="1">
      <c r="A500" s="243"/>
      <c r="B500" s="243"/>
      <c r="C500" s="243"/>
      <c r="F500" s="243"/>
      <c r="G500" s="243"/>
    </row>
    <row r="501" spans="1:7" ht="19.5" customHeight="1">
      <c r="A501" s="243"/>
      <c r="B501" s="243"/>
      <c r="C501" s="243"/>
      <c r="F501" s="243"/>
      <c r="G501" s="243"/>
    </row>
    <row r="502" spans="1:7" ht="19.5" customHeight="1">
      <c r="A502" s="243"/>
      <c r="B502" s="243"/>
      <c r="C502" s="243"/>
      <c r="F502" s="243"/>
      <c r="G502" s="243"/>
    </row>
    <row r="503" spans="1:7" ht="19.5" customHeight="1">
      <c r="A503" s="243"/>
      <c r="B503" s="243"/>
      <c r="C503" s="243"/>
      <c r="F503" s="243"/>
      <c r="G503" s="243"/>
    </row>
    <row r="504" spans="1:7" ht="19.5" customHeight="1">
      <c r="A504" s="243"/>
      <c r="B504" s="243"/>
      <c r="C504" s="243"/>
      <c r="F504" s="243"/>
      <c r="G504" s="243"/>
    </row>
    <row r="505" spans="1:7" ht="19.5" customHeight="1">
      <c r="A505" s="243"/>
      <c r="B505" s="243"/>
      <c r="C505" s="243"/>
      <c r="F505" s="243"/>
      <c r="G505" s="243"/>
    </row>
    <row r="506" spans="1:7" ht="19.5" customHeight="1">
      <c r="A506" s="243"/>
      <c r="B506" s="243"/>
      <c r="C506" s="243"/>
      <c r="F506" s="243"/>
      <c r="G506" s="243"/>
    </row>
    <row r="507" spans="1:7" ht="19.5" customHeight="1">
      <c r="A507" s="243"/>
      <c r="B507" s="243"/>
      <c r="C507" s="243"/>
      <c r="F507" s="243"/>
      <c r="G507" s="243"/>
    </row>
    <row r="508" spans="1:7" ht="19.5" customHeight="1">
      <c r="A508" s="243"/>
      <c r="B508" s="243"/>
      <c r="C508" s="243"/>
      <c r="F508" s="243"/>
      <c r="G508" s="243"/>
    </row>
    <row r="509" spans="1:7" ht="19.5" customHeight="1">
      <c r="A509" s="243"/>
      <c r="B509" s="243"/>
      <c r="C509" s="243"/>
      <c r="F509" s="243"/>
      <c r="G509" s="243"/>
    </row>
    <row r="510" spans="1:7" ht="19.5" customHeight="1">
      <c r="A510" s="243"/>
      <c r="B510" s="243"/>
      <c r="C510" s="243"/>
      <c r="F510" s="243"/>
      <c r="G510" s="243"/>
    </row>
    <row r="511" spans="1:7" ht="19.5" customHeight="1">
      <c r="A511" s="243"/>
      <c r="B511" s="243"/>
      <c r="C511" s="243"/>
      <c r="F511" s="243"/>
      <c r="G511" s="243"/>
    </row>
    <row r="512" spans="1:7" ht="19.5" customHeight="1">
      <c r="A512" s="243"/>
      <c r="B512" s="243"/>
      <c r="C512" s="243"/>
      <c r="F512" s="243"/>
      <c r="G512" s="243"/>
    </row>
    <row r="513" spans="1:7" ht="19.5" customHeight="1">
      <c r="A513" s="243"/>
      <c r="B513" s="243"/>
      <c r="C513" s="243"/>
      <c r="F513" s="243"/>
      <c r="G513" s="243"/>
    </row>
    <row r="514" spans="1:7" ht="19.5" customHeight="1">
      <c r="A514" s="243"/>
      <c r="B514" s="243"/>
      <c r="C514" s="243"/>
      <c r="F514" s="243"/>
      <c r="G514" s="243"/>
    </row>
    <row r="515" spans="1:7" ht="19.5" customHeight="1">
      <c r="A515" s="243"/>
      <c r="B515" s="243"/>
      <c r="C515" s="243"/>
      <c r="F515" s="243"/>
      <c r="G515" s="243"/>
    </row>
    <row r="516" spans="1:7" ht="19.5" customHeight="1">
      <c r="A516" s="243"/>
      <c r="B516" s="243"/>
      <c r="C516" s="243"/>
      <c r="F516" s="243"/>
      <c r="G516" s="243"/>
    </row>
    <row r="517" spans="1:7" ht="19.5" customHeight="1">
      <c r="A517" s="243"/>
      <c r="B517" s="243"/>
      <c r="C517" s="243"/>
      <c r="F517" s="243"/>
      <c r="G517" s="243"/>
    </row>
    <row r="518" spans="1:7" ht="19.5" customHeight="1">
      <c r="A518" s="243"/>
      <c r="B518" s="243"/>
      <c r="C518" s="243"/>
      <c r="F518" s="243"/>
      <c r="G518" s="243"/>
    </row>
    <row r="519" spans="1:7" ht="19.5" customHeight="1">
      <c r="A519" s="243"/>
      <c r="B519" s="243"/>
      <c r="C519" s="243"/>
      <c r="F519" s="243"/>
      <c r="G519" s="243"/>
    </row>
    <row r="520" spans="1:7" ht="19.5" customHeight="1">
      <c r="A520" s="243"/>
      <c r="B520" s="243"/>
      <c r="C520" s="243"/>
      <c r="F520" s="243"/>
      <c r="G520" s="243"/>
    </row>
    <row r="521" spans="1:7" ht="19.5" customHeight="1">
      <c r="A521" s="243"/>
      <c r="B521" s="243"/>
      <c r="C521" s="243"/>
      <c r="F521" s="243"/>
      <c r="G521" s="243"/>
    </row>
    <row r="522" spans="1:7" ht="19.5" customHeight="1">
      <c r="A522" s="243"/>
      <c r="B522" s="243"/>
      <c r="C522" s="243"/>
      <c r="F522" s="243"/>
      <c r="G522" s="243"/>
    </row>
    <row r="523" spans="1:7" ht="19.5" customHeight="1">
      <c r="A523" s="243"/>
      <c r="B523" s="243"/>
      <c r="C523" s="243"/>
      <c r="F523" s="243"/>
      <c r="G523" s="243"/>
    </row>
    <row r="524" spans="1:7" ht="19.5" customHeight="1">
      <c r="A524" s="243"/>
      <c r="B524" s="243"/>
      <c r="C524" s="243"/>
      <c r="F524" s="243"/>
      <c r="G524" s="243"/>
    </row>
    <row r="525" spans="1:7" ht="19.5" customHeight="1">
      <c r="A525" s="243"/>
      <c r="B525" s="243"/>
      <c r="C525" s="243"/>
      <c r="F525" s="243"/>
      <c r="G525" s="243"/>
    </row>
    <row r="526" spans="1:7" ht="19.5" customHeight="1">
      <c r="A526" s="243"/>
      <c r="B526" s="243"/>
      <c r="C526" s="243"/>
      <c r="F526" s="243"/>
      <c r="G526" s="243"/>
    </row>
    <row r="527" spans="1:7" ht="19.5" customHeight="1">
      <c r="A527" s="243"/>
      <c r="B527" s="243"/>
      <c r="C527" s="243"/>
      <c r="F527" s="243"/>
      <c r="G527" s="243"/>
    </row>
    <row r="528" spans="1:7" ht="19.5" customHeight="1">
      <c r="A528" s="243"/>
      <c r="B528" s="243"/>
      <c r="C528" s="243"/>
      <c r="F528" s="243"/>
      <c r="G528" s="243"/>
    </row>
    <row r="529" spans="1:7" ht="19.5" customHeight="1">
      <c r="A529" s="243"/>
      <c r="B529" s="243"/>
      <c r="C529" s="243"/>
      <c r="F529" s="243"/>
      <c r="G529" s="243"/>
    </row>
    <row r="530" spans="1:7" ht="19.5" customHeight="1">
      <c r="A530" s="243"/>
      <c r="B530" s="243"/>
      <c r="C530" s="243"/>
      <c r="F530" s="243"/>
      <c r="G530" s="243"/>
    </row>
    <row r="531" spans="1:7" ht="19.5" customHeight="1">
      <c r="A531" s="243"/>
      <c r="B531" s="243"/>
      <c r="C531" s="243"/>
      <c r="F531" s="243"/>
      <c r="G531" s="243"/>
    </row>
    <row r="532" spans="1:7" ht="19.5" customHeight="1">
      <c r="A532" s="243"/>
      <c r="B532" s="243"/>
      <c r="C532" s="243"/>
      <c r="F532" s="243"/>
      <c r="G532" s="243"/>
    </row>
    <row r="533" spans="1:7" ht="19.5" customHeight="1">
      <c r="A533" s="243"/>
      <c r="B533" s="243"/>
      <c r="C533" s="243"/>
      <c r="F533" s="243"/>
      <c r="G533" s="243"/>
    </row>
    <row r="534" spans="1:7" ht="19.5" customHeight="1">
      <c r="A534" s="243"/>
      <c r="B534" s="243"/>
      <c r="C534" s="243"/>
      <c r="F534" s="243"/>
      <c r="G534" s="243"/>
    </row>
    <row r="535" spans="1:7" ht="19.5" customHeight="1">
      <c r="A535" s="243"/>
      <c r="B535" s="243"/>
      <c r="C535" s="243"/>
      <c r="F535" s="243"/>
      <c r="G535" s="243"/>
    </row>
    <row r="536" spans="1:7" ht="19.5" customHeight="1">
      <c r="A536" s="243"/>
      <c r="B536" s="243"/>
      <c r="C536" s="243"/>
      <c r="F536" s="243"/>
      <c r="G536" s="243"/>
    </row>
    <row r="537" spans="1:7" ht="19.5" customHeight="1">
      <c r="A537" s="243"/>
      <c r="B537" s="243"/>
      <c r="C537" s="243"/>
      <c r="F537" s="243"/>
      <c r="G537" s="243"/>
    </row>
    <row r="538" spans="1:7" ht="19.5" customHeight="1">
      <c r="A538" s="243"/>
      <c r="B538" s="243"/>
      <c r="C538" s="243"/>
      <c r="F538" s="243"/>
      <c r="G538" s="243"/>
    </row>
    <row r="539" spans="1:7" ht="19.5" customHeight="1">
      <c r="A539" s="243"/>
      <c r="B539" s="243"/>
      <c r="C539" s="243"/>
      <c r="F539" s="243"/>
      <c r="G539" s="243"/>
    </row>
    <row r="540" spans="1:7" ht="19.5" customHeight="1">
      <c r="A540" s="243"/>
      <c r="B540" s="243"/>
      <c r="C540" s="243"/>
      <c r="F540" s="243"/>
      <c r="G540" s="243"/>
    </row>
    <row r="541" spans="1:7" ht="19.5" customHeight="1">
      <c r="A541" s="243"/>
      <c r="B541" s="243"/>
      <c r="C541" s="243"/>
      <c r="F541" s="243"/>
      <c r="G541" s="243"/>
    </row>
    <row r="542" spans="1:7" ht="19.5" customHeight="1">
      <c r="A542" s="243"/>
      <c r="B542" s="243"/>
      <c r="C542" s="243"/>
      <c r="F542" s="243"/>
      <c r="G542" s="243"/>
    </row>
    <row r="543" spans="1:7" ht="19.5" customHeight="1">
      <c r="A543" s="243"/>
      <c r="B543" s="243"/>
      <c r="C543" s="243"/>
      <c r="F543" s="243"/>
      <c r="G543" s="243"/>
    </row>
    <row r="544" spans="1:7" ht="19.5" customHeight="1">
      <c r="A544" s="243"/>
      <c r="B544" s="243"/>
      <c r="C544" s="243"/>
      <c r="F544" s="243"/>
      <c r="G544" s="243"/>
    </row>
    <row r="545" spans="1:7" ht="19.5" customHeight="1">
      <c r="A545" s="243"/>
      <c r="B545" s="243"/>
      <c r="C545" s="243"/>
      <c r="F545" s="243"/>
      <c r="G545" s="243"/>
    </row>
    <row r="546" spans="1:7" ht="19.5" customHeight="1">
      <c r="A546" s="243"/>
      <c r="B546" s="243"/>
      <c r="C546" s="243"/>
      <c r="F546" s="243"/>
      <c r="G546" s="243"/>
    </row>
    <row r="547" spans="1:7" ht="19.5" customHeight="1">
      <c r="A547" s="243"/>
      <c r="B547" s="243"/>
      <c r="C547" s="243"/>
      <c r="F547" s="243"/>
      <c r="G547" s="243"/>
    </row>
    <row r="548" spans="1:7" ht="19.5" customHeight="1">
      <c r="A548" s="243"/>
      <c r="B548" s="243"/>
      <c r="C548" s="243"/>
      <c r="F548" s="243"/>
      <c r="G548" s="243"/>
    </row>
    <row r="549" spans="1:7" ht="19.5" customHeight="1">
      <c r="A549" s="243"/>
      <c r="B549" s="243"/>
      <c r="C549" s="243"/>
      <c r="F549" s="243"/>
      <c r="G549" s="243"/>
    </row>
    <row r="550" spans="1:7" ht="19.5" customHeight="1">
      <c r="A550" s="243"/>
      <c r="B550" s="243"/>
      <c r="C550" s="243"/>
      <c r="F550" s="243"/>
      <c r="G550" s="243"/>
    </row>
    <row r="551" spans="1:7" ht="19.5" customHeight="1">
      <c r="A551" s="243"/>
      <c r="B551" s="243"/>
      <c r="C551" s="243"/>
      <c r="F551" s="243"/>
      <c r="G551" s="243"/>
    </row>
    <row r="552" spans="1:7" ht="19.5" customHeight="1">
      <c r="A552" s="243"/>
      <c r="B552" s="243"/>
      <c r="C552" s="243"/>
      <c r="F552" s="243"/>
      <c r="G552" s="243"/>
    </row>
    <row r="553" spans="1:7" ht="19.5" customHeight="1">
      <c r="A553" s="243"/>
      <c r="B553" s="243"/>
      <c r="C553" s="243"/>
      <c r="F553" s="243"/>
      <c r="G553" s="243"/>
    </row>
    <row r="554" spans="1:7" ht="19.5" customHeight="1">
      <c r="A554" s="243"/>
      <c r="B554" s="243"/>
      <c r="C554" s="243"/>
      <c r="F554" s="243"/>
      <c r="G554" s="243"/>
    </row>
    <row r="555" spans="1:7" ht="19.5" customHeight="1">
      <c r="A555" s="243"/>
      <c r="B555" s="243"/>
      <c r="C555" s="243"/>
      <c r="F555" s="243"/>
      <c r="G555" s="243"/>
    </row>
    <row r="556" spans="1:7" ht="19.5" customHeight="1">
      <c r="A556" s="243"/>
      <c r="B556" s="243"/>
      <c r="C556" s="243"/>
      <c r="F556" s="243"/>
      <c r="G556" s="243"/>
    </row>
    <row r="557" spans="1:7" ht="19.5" customHeight="1">
      <c r="A557" s="243"/>
      <c r="B557" s="243"/>
      <c r="C557" s="243"/>
      <c r="F557" s="243"/>
      <c r="G557" s="243"/>
    </row>
    <row r="558" spans="1:7" ht="19.5" customHeight="1">
      <c r="A558" s="243"/>
      <c r="B558" s="243"/>
      <c r="C558" s="243"/>
      <c r="F558" s="243"/>
      <c r="G558" s="243"/>
    </row>
    <row r="559" spans="1:7" ht="19.5" customHeight="1">
      <c r="A559" s="243"/>
      <c r="B559" s="243"/>
      <c r="C559" s="243"/>
      <c r="F559" s="243"/>
      <c r="G559" s="243"/>
    </row>
    <row r="560" spans="1:7" ht="19.5" customHeight="1">
      <c r="A560" s="243"/>
      <c r="B560" s="243"/>
      <c r="C560" s="243"/>
      <c r="F560" s="243"/>
      <c r="G560" s="243"/>
    </row>
    <row r="561" spans="1:7" ht="19.5" customHeight="1">
      <c r="A561" s="243"/>
      <c r="B561" s="243"/>
      <c r="C561" s="243"/>
      <c r="F561" s="243"/>
      <c r="G561" s="243"/>
    </row>
    <row r="562" spans="1:7" ht="19.5" customHeight="1">
      <c r="A562" s="243"/>
      <c r="B562" s="243"/>
      <c r="C562" s="243"/>
      <c r="F562" s="243"/>
      <c r="G562" s="243"/>
    </row>
    <row r="563" spans="1:7" ht="19.5" customHeight="1">
      <c r="A563" s="243"/>
      <c r="B563" s="243"/>
      <c r="C563" s="243"/>
      <c r="F563" s="243"/>
      <c r="G563" s="243"/>
    </row>
    <row r="564" spans="1:7" ht="19.5" customHeight="1">
      <c r="A564" s="243"/>
      <c r="B564" s="243"/>
      <c r="C564" s="243"/>
      <c r="F564" s="243"/>
      <c r="G564" s="243"/>
    </row>
    <row r="565" spans="1:7" ht="19.5" customHeight="1">
      <c r="A565" s="243"/>
      <c r="B565" s="243"/>
      <c r="C565" s="243"/>
      <c r="F565" s="243"/>
      <c r="G565" s="243"/>
    </row>
    <row r="566" spans="1:7" ht="19.5" customHeight="1">
      <c r="A566" s="243"/>
      <c r="B566" s="243"/>
      <c r="C566" s="243"/>
      <c r="F566" s="243"/>
      <c r="G566" s="243"/>
    </row>
    <row r="567" spans="1:7" ht="19.5" customHeight="1">
      <c r="A567" s="243"/>
      <c r="B567" s="243"/>
      <c r="C567" s="243"/>
      <c r="F567" s="243"/>
      <c r="G567" s="243"/>
    </row>
    <row r="568" spans="1:7" ht="19.5" customHeight="1">
      <c r="A568" s="243"/>
      <c r="B568" s="243"/>
      <c r="C568" s="243"/>
      <c r="F568" s="243"/>
      <c r="G568" s="243"/>
    </row>
    <row r="569" spans="1:7" ht="19.5" customHeight="1">
      <c r="A569" s="243"/>
      <c r="B569" s="243"/>
      <c r="C569" s="243"/>
      <c r="F569" s="243"/>
      <c r="G569" s="243"/>
    </row>
    <row r="570" spans="1:7" ht="19.5" customHeight="1">
      <c r="A570" s="243"/>
      <c r="B570" s="243"/>
      <c r="C570" s="243"/>
      <c r="F570" s="243"/>
      <c r="G570" s="243"/>
    </row>
    <row r="571" spans="1:7" ht="19.5" customHeight="1">
      <c r="A571" s="243"/>
      <c r="B571" s="243"/>
      <c r="C571" s="243"/>
      <c r="F571" s="243"/>
      <c r="G571" s="243"/>
    </row>
    <row r="572" spans="1:7" ht="19.5" customHeight="1">
      <c r="A572" s="243"/>
      <c r="B572" s="243"/>
      <c r="C572" s="243"/>
      <c r="F572" s="243"/>
      <c r="G572" s="243"/>
    </row>
    <row r="573" spans="1:7" ht="19.5" customHeight="1">
      <c r="A573" s="243"/>
      <c r="B573" s="243"/>
      <c r="C573" s="243"/>
      <c r="F573" s="243"/>
      <c r="G573" s="243"/>
    </row>
    <row r="574" spans="1:7" ht="19.5" customHeight="1">
      <c r="A574" s="243"/>
      <c r="B574" s="243"/>
      <c r="C574" s="243"/>
      <c r="F574" s="243"/>
      <c r="G574" s="243"/>
    </row>
    <row r="575" spans="1:7" ht="19.5" customHeight="1">
      <c r="A575" s="243"/>
      <c r="B575" s="243"/>
      <c r="C575" s="243"/>
      <c r="F575" s="243"/>
      <c r="G575" s="243"/>
    </row>
    <row r="576" spans="1:7" ht="19.5" customHeight="1">
      <c r="A576" s="243"/>
      <c r="B576" s="243"/>
      <c r="C576" s="243"/>
      <c r="F576" s="243"/>
      <c r="G576" s="243"/>
    </row>
    <row r="577" spans="1:7" ht="19.5" customHeight="1">
      <c r="A577" s="243"/>
      <c r="B577" s="243"/>
      <c r="C577" s="243"/>
      <c r="F577" s="243"/>
      <c r="G577" s="243"/>
    </row>
    <row r="578" spans="1:7" ht="19.5" customHeight="1">
      <c r="A578" s="243"/>
      <c r="B578" s="243"/>
      <c r="C578" s="243"/>
      <c r="F578" s="243"/>
      <c r="G578" s="243"/>
    </row>
    <row r="579" spans="1:7" ht="19.5" customHeight="1">
      <c r="A579" s="243"/>
      <c r="B579" s="243"/>
      <c r="C579" s="243"/>
      <c r="F579" s="243"/>
      <c r="G579" s="243"/>
    </row>
    <row r="580" spans="1:7" ht="19.5" customHeight="1">
      <c r="A580" s="243"/>
      <c r="B580" s="243"/>
      <c r="C580" s="243"/>
      <c r="F580" s="243"/>
      <c r="G580" s="243"/>
    </row>
    <row r="581" spans="1:7" ht="19.5" customHeight="1">
      <c r="A581" s="243"/>
      <c r="B581" s="243"/>
      <c r="C581" s="243"/>
      <c r="F581" s="243"/>
      <c r="G581" s="243"/>
    </row>
    <row r="582" spans="1:7" ht="19.5" customHeight="1">
      <c r="A582" s="243"/>
      <c r="B582" s="243"/>
      <c r="C582" s="243"/>
      <c r="F582" s="243"/>
      <c r="G582" s="243"/>
    </row>
    <row r="583" spans="1:7" ht="19.5" customHeight="1">
      <c r="A583" s="243"/>
      <c r="B583" s="243"/>
      <c r="C583" s="243"/>
      <c r="F583" s="243"/>
      <c r="G583" s="243"/>
    </row>
    <row r="584" spans="1:7" ht="19.5" customHeight="1">
      <c r="A584" s="243"/>
      <c r="B584" s="243"/>
      <c r="C584" s="243"/>
      <c r="F584" s="243"/>
      <c r="G584" s="243"/>
    </row>
    <row r="585" spans="1:7" ht="19.5" customHeight="1">
      <c r="A585" s="243"/>
      <c r="B585" s="243"/>
      <c r="C585" s="243"/>
      <c r="F585" s="243"/>
      <c r="G585" s="243"/>
    </row>
    <row r="586" spans="1:7" ht="19.5" customHeight="1">
      <c r="A586" s="243"/>
      <c r="B586" s="243"/>
      <c r="C586" s="243"/>
      <c r="F586" s="243"/>
      <c r="G586" s="243"/>
    </row>
    <row r="587" spans="1:7" ht="19.5" customHeight="1">
      <c r="A587" s="243"/>
      <c r="B587" s="243"/>
      <c r="C587" s="243"/>
      <c r="F587" s="243"/>
      <c r="G587" s="243"/>
    </row>
    <row r="588" spans="1:7" ht="19.5" customHeight="1">
      <c r="A588" s="243"/>
      <c r="B588" s="243"/>
      <c r="C588" s="243"/>
      <c r="F588" s="243"/>
      <c r="G588" s="243"/>
    </row>
    <row r="589" spans="1:7" ht="19.5" customHeight="1">
      <c r="A589" s="243"/>
      <c r="B589" s="243"/>
      <c r="C589" s="243"/>
      <c r="F589" s="243"/>
      <c r="G589" s="243"/>
    </row>
    <row r="590" spans="1:7" ht="19.5" customHeight="1">
      <c r="A590" s="243"/>
      <c r="B590" s="243"/>
      <c r="C590" s="243"/>
      <c r="F590" s="243"/>
      <c r="G590" s="243"/>
    </row>
    <row r="591" spans="1:7" ht="19.5" customHeight="1">
      <c r="A591" s="243"/>
      <c r="B591" s="243"/>
      <c r="C591" s="243"/>
      <c r="F591" s="243"/>
      <c r="G591" s="243"/>
    </row>
    <row r="592" spans="1:7" ht="19.5" customHeight="1">
      <c r="A592" s="243"/>
      <c r="B592" s="243"/>
      <c r="C592" s="243"/>
      <c r="F592" s="243"/>
      <c r="G592" s="243"/>
    </row>
    <row r="593" spans="1:7" ht="19.5" customHeight="1">
      <c r="A593" s="243"/>
      <c r="B593" s="243"/>
      <c r="C593" s="243"/>
      <c r="F593" s="243"/>
      <c r="G593" s="243"/>
    </row>
    <row r="594" spans="1:7" ht="19.5" customHeight="1">
      <c r="A594" s="243"/>
      <c r="B594" s="243"/>
      <c r="C594" s="243"/>
      <c r="F594" s="243"/>
      <c r="G594" s="243"/>
    </row>
    <row r="595" spans="1:7" ht="19.5" customHeight="1">
      <c r="A595" s="243"/>
      <c r="B595" s="243"/>
      <c r="C595" s="243"/>
      <c r="F595" s="243"/>
      <c r="G595" s="243"/>
    </row>
    <row r="596" spans="1:7" ht="19.5" customHeight="1">
      <c r="A596" s="243"/>
      <c r="B596" s="243"/>
      <c r="C596" s="243"/>
      <c r="F596" s="243"/>
      <c r="G596" s="243"/>
    </row>
    <row r="597" spans="1:7" ht="19.5" customHeight="1">
      <c r="A597" s="243"/>
      <c r="B597" s="243"/>
      <c r="C597" s="243"/>
      <c r="F597" s="243"/>
      <c r="G597" s="243"/>
    </row>
    <row r="598" spans="1:7" ht="19.5" customHeight="1">
      <c r="A598" s="243"/>
      <c r="B598" s="243"/>
      <c r="C598" s="243"/>
      <c r="F598" s="243"/>
      <c r="G598" s="243"/>
    </row>
    <row r="599" spans="1:7" ht="19.5" customHeight="1">
      <c r="A599" s="243"/>
      <c r="B599" s="243"/>
      <c r="C599" s="243"/>
      <c r="F599" s="243"/>
      <c r="G599" s="243"/>
    </row>
    <row r="600" spans="1:7" ht="19.5" customHeight="1">
      <c r="A600" s="243"/>
      <c r="B600" s="243"/>
      <c r="C600" s="243"/>
      <c r="F600" s="243"/>
      <c r="G600" s="243"/>
    </row>
    <row r="601" spans="1:7" ht="19.5" customHeight="1">
      <c r="A601" s="243"/>
      <c r="B601" s="243"/>
      <c r="C601" s="243"/>
      <c r="F601" s="243"/>
      <c r="G601" s="243"/>
    </row>
    <row r="602" spans="1:7" ht="19.5" customHeight="1">
      <c r="A602" s="243"/>
      <c r="B602" s="243"/>
      <c r="C602" s="243"/>
      <c r="F602" s="243"/>
      <c r="G602" s="243"/>
    </row>
    <row r="603" spans="1:7" ht="19.5" customHeight="1">
      <c r="A603" s="243"/>
      <c r="B603" s="243"/>
      <c r="C603" s="243"/>
      <c r="F603" s="243"/>
      <c r="G603" s="243"/>
    </row>
    <row r="604" spans="1:7" ht="19.5" customHeight="1">
      <c r="A604" s="243"/>
      <c r="B604" s="243"/>
      <c r="C604" s="243"/>
      <c r="F604" s="243"/>
      <c r="G604" s="243"/>
    </row>
    <row r="605" spans="1:7" ht="19.5" customHeight="1">
      <c r="A605" s="243"/>
      <c r="B605" s="243"/>
      <c r="C605" s="243"/>
      <c r="F605" s="243"/>
      <c r="G605" s="243"/>
    </row>
    <row r="606" spans="1:7" ht="19.5" customHeight="1">
      <c r="A606" s="243"/>
      <c r="B606" s="243"/>
      <c r="C606" s="243"/>
      <c r="F606" s="243"/>
      <c r="G606" s="243"/>
    </row>
    <row r="607" spans="1:7" ht="19.5" customHeight="1">
      <c r="A607" s="243"/>
      <c r="B607" s="243"/>
      <c r="C607" s="243"/>
      <c r="F607" s="243"/>
      <c r="G607" s="243"/>
    </row>
    <row r="608" spans="1:7" ht="19.5" customHeight="1">
      <c r="A608" s="243"/>
      <c r="B608" s="243"/>
      <c r="C608" s="243"/>
      <c r="F608" s="243"/>
      <c r="G608" s="243"/>
    </row>
    <row r="609" spans="1:7" ht="19.5" customHeight="1">
      <c r="A609" s="243"/>
      <c r="B609" s="243"/>
      <c r="C609" s="243"/>
      <c r="F609" s="243"/>
      <c r="G609" s="243"/>
    </row>
    <row r="610" spans="1:7" ht="19.5" customHeight="1">
      <c r="A610" s="243"/>
      <c r="B610" s="243"/>
      <c r="C610" s="243"/>
      <c r="F610" s="243"/>
      <c r="G610" s="243"/>
    </row>
    <row r="611" spans="1:7" ht="19.5" customHeight="1">
      <c r="A611" s="243"/>
      <c r="B611" s="243"/>
      <c r="C611" s="243"/>
      <c r="F611" s="243"/>
      <c r="G611" s="243"/>
    </row>
    <row r="612" spans="1:7" ht="19.5" customHeight="1">
      <c r="A612" s="243"/>
      <c r="B612" s="243"/>
      <c r="C612" s="243"/>
      <c r="F612" s="243"/>
      <c r="G612" s="243"/>
    </row>
    <row r="613" spans="1:7" ht="19.5" customHeight="1">
      <c r="A613" s="243"/>
      <c r="B613" s="243"/>
      <c r="C613" s="243"/>
      <c r="F613" s="243"/>
      <c r="G613" s="243"/>
    </row>
    <row r="614" spans="1:7" ht="19.5" customHeight="1">
      <c r="A614" s="243"/>
      <c r="B614" s="243"/>
      <c r="C614" s="243"/>
      <c r="F614" s="243"/>
      <c r="G614" s="243"/>
    </row>
    <row r="615" spans="1:7" ht="19.5" customHeight="1">
      <c r="A615" s="243"/>
      <c r="B615" s="243"/>
      <c r="C615" s="243"/>
      <c r="F615" s="243"/>
      <c r="G615" s="243"/>
    </row>
    <row r="616" spans="1:7" ht="19.5" customHeight="1">
      <c r="A616" s="243"/>
      <c r="B616" s="243"/>
      <c r="C616" s="243"/>
      <c r="F616" s="243"/>
      <c r="G616" s="243"/>
    </row>
    <row r="617" spans="1:7" ht="19.5" customHeight="1">
      <c r="A617" s="243"/>
      <c r="B617" s="243"/>
      <c r="C617" s="243"/>
      <c r="F617" s="243"/>
      <c r="G617" s="243"/>
    </row>
    <row r="618" spans="1:7" ht="19.5" customHeight="1">
      <c r="A618" s="243"/>
      <c r="B618" s="243"/>
      <c r="C618" s="243"/>
      <c r="F618" s="243"/>
      <c r="G618" s="243"/>
    </row>
    <row r="619" spans="1:7" ht="19.5" customHeight="1">
      <c r="A619" s="243"/>
      <c r="B619" s="243"/>
      <c r="C619" s="243"/>
      <c r="F619" s="243"/>
      <c r="G619" s="243"/>
    </row>
    <row r="620" spans="1:7" ht="19.5" customHeight="1">
      <c r="A620" s="243"/>
      <c r="B620" s="243"/>
      <c r="C620" s="243"/>
      <c r="F620" s="243"/>
      <c r="G620" s="243"/>
    </row>
    <row r="621" spans="1:7" ht="19.5" customHeight="1">
      <c r="A621" s="243"/>
      <c r="B621" s="243"/>
      <c r="C621" s="243"/>
      <c r="F621" s="243"/>
      <c r="G621" s="243"/>
    </row>
    <row r="622" spans="1:7" ht="19.5" customHeight="1">
      <c r="A622" s="243"/>
      <c r="B622" s="243"/>
      <c r="C622" s="243"/>
      <c r="F622" s="243"/>
      <c r="G622" s="243"/>
    </row>
    <row r="623" spans="1:7" ht="19.5" customHeight="1">
      <c r="A623" s="243"/>
      <c r="B623" s="243"/>
      <c r="C623" s="243"/>
      <c r="F623" s="243"/>
      <c r="G623" s="243"/>
    </row>
    <row r="624" spans="1:7" ht="19.5" customHeight="1">
      <c r="A624" s="243"/>
      <c r="B624" s="243"/>
      <c r="C624" s="243"/>
      <c r="F624" s="243"/>
      <c r="G624" s="243"/>
    </row>
    <row r="625" spans="1:7" ht="19.5" customHeight="1">
      <c r="A625" s="243"/>
      <c r="B625" s="243"/>
      <c r="C625" s="243"/>
      <c r="F625" s="243"/>
      <c r="G625" s="243"/>
    </row>
    <row r="626" spans="1:7" ht="19.5" customHeight="1">
      <c r="A626" s="243"/>
      <c r="B626" s="243"/>
      <c r="C626" s="243"/>
      <c r="F626" s="243"/>
      <c r="G626" s="243"/>
    </row>
    <row r="627" spans="1:7" ht="19.5" customHeight="1">
      <c r="A627" s="243"/>
      <c r="B627" s="243"/>
      <c r="C627" s="243"/>
      <c r="F627" s="243"/>
      <c r="G627" s="243"/>
    </row>
    <row r="628" spans="1:7" ht="19.5" customHeight="1">
      <c r="A628" s="243"/>
      <c r="B628" s="243"/>
      <c r="C628" s="243"/>
      <c r="F628" s="243"/>
      <c r="G628" s="243"/>
    </row>
    <row r="629" spans="1:7" ht="19.5" customHeight="1">
      <c r="A629" s="243"/>
      <c r="B629" s="243"/>
      <c r="C629" s="243"/>
      <c r="F629" s="243"/>
      <c r="G629" s="243"/>
    </row>
    <row r="630" spans="1:7" ht="19.5" customHeight="1">
      <c r="A630" s="243"/>
      <c r="B630" s="243"/>
      <c r="C630" s="243"/>
      <c r="F630" s="243"/>
      <c r="G630" s="243"/>
    </row>
    <row r="631" spans="1:7" ht="19.5" customHeight="1">
      <c r="A631" s="243"/>
      <c r="B631" s="243"/>
      <c r="C631" s="243"/>
      <c r="F631" s="243"/>
      <c r="G631" s="243"/>
    </row>
    <row r="632" spans="1:7" ht="19.5" customHeight="1">
      <c r="A632" s="243"/>
      <c r="B632" s="243"/>
      <c r="C632" s="243"/>
      <c r="F632" s="243"/>
      <c r="G632" s="243"/>
    </row>
    <row r="633" spans="1:7" ht="19.5" customHeight="1">
      <c r="A633" s="243"/>
      <c r="B633" s="243"/>
      <c r="C633" s="243"/>
      <c r="F633" s="243"/>
      <c r="G633" s="243"/>
    </row>
    <row r="634" spans="1:7" ht="19.5" customHeight="1">
      <c r="A634" s="243"/>
      <c r="B634" s="243"/>
      <c r="C634" s="243"/>
      <c r="F634" s="243"/>
      <c r="G634" s="243"/>
    </row>
    <row r="635" spans="1:7" ht="19.5" customHeight="1">
      <c r="A635" s="243"/>
      <c r="B635" s="243"/>
      <c r="C635" s="243"/>
      <c r="F635" s="243"/>
      <c r="G635" s="243"/>
    </row>
    <row r="636" spans="1:7" ht="19.5" customHeight="1">
      <c r="A636" s="243"/>
      <c r="B636" s="243"/>
      <c r="C636" s="243"/>
      <c r="F636" s="243"/>
      <c r="G636" s="243"/>
    </row>
    <row r="637" spans="1:7" ht="19.5" customHeight="1">
      <c r="A637" s="243"/>
      <c r="B637" s="243"/>
      <c r="C637" s="243"/>
      <c r="F637" s="243"/>
      <c r="G637" s="243"/>
    </row>
    <row r="638" spans="1:7" ht="19.5" customHeight="1">
      <c r="A638" s="243"/>
      <c r="B638" s="243"/>
      <c r="C638" s="243"/>
      <c r="F638" s="243"/>
      <c r="G638" s="243"/>
    </row>
    <row r="639" spans="1:7" ht="19.5" customHeight="1">
      <c r="A639" s="243"/>
      <c r="B639" s="243"/>
      <c r="C639" s="243"/>
      <c r="F639" s="243"/>
      <c r="G639" s="243"/>
    </row>
    <row r="640" spans="1:7" ht="19.5" customHeight="1">
      <c r="A640" s="243"/>
      <c r="B640" s="243"/>
      <c r="C640" s="243"/>
      <c r="F640" s="243"/>
      <c r="G640" s="243"/>
    </row>
    <row r="641" spans="1:7" ht="19.5" customHeight="1">
      <c r="A641" s="243"/>
      <c r="B641" s="243"/>
      <c r="C641" s="243"/>
      <c r="F641" s="243"/>
      <c r="G641" s="243"/>
    </row>
    <row r="642" spans="1:7" ht="19.5" customHeight="1">
      <c r="A642" s="243"/>
      <c r="B642" s="243"/>
      <c r="C642" s="243"/>
      <c r="F642" s="243"/>
      <c r="G642" s="243"/>
    </row>
    <row r="643" spans="1:7" ht="19.5" customHeight="1">
      <c r="A643" s="243"/>
      <c r="B643" s="243"/>
      <c r="C643" s="243"/>
      <c r="F643" s="243"/>
      <c r="G643" s="243"/>
    </row>
    <row r="644" spans="1:7" ht="19.5" customHeight="1">
      <c r="A644" s="243"/>
      <c r="B644" s="243"/>
      <c r="C644" s="243"/>
      <c r="F644" s="243"/>
      <c r="G644" s="243"/>
    </row>
    <row r="645" spans="1:7" ht="19.5" customHeight="1">
      <c r="A645" s="243"/>
      <c r="B645" s="243"/>
      <c r="C645" s="243"/>
      <c r="F645" s="243"/>
      <c r="G645" s="243"/>
    </row>
    <row r="646" spans="1:7" ht="19.5" customHeight="1">
      <c r="A646" s="243"/>
      <c r="B646" s="243"/>
      <c r="C646" s="243"/>
      <c r="F646" s="243"/>
      <c r="G646" s="243"/>
    </row>
    <row r="647" spans="1:7" ht="19.5" customHeight="1">
      <c r="A647" s="243"/>
      <c r="B647" s="243"/>
      <c r="C647" s="243"/>
      <c r="F647" s="243"/>
      <c r="G647" s="243"/>
    </row>
    <row r="648" spans="1:7" ht="19.5" customHeight="1">
      <c r="A648" s="243"/>
      <c r="B648" s="243"/>
      <c r="C648" s="243"/>
      <c r="F648" s="243"/>
      <c r="G648" s="243"/>
    </row>
    <row r="649" spans="1:7" ht="19.5" customHeight="1">
      <c r="A649" s="243"/>
      <c r="B649" s="243"/>
      <c r="C649" s="243"/>
      <c r="F649" s="243"/>
      <c r="G649" s="243"/>
    </row>
    <row r="650" spans="1:7" ht="19.5" customHeight="1">
      <c r="A650" s="243"/>
      <c r="B650" s="243"/>
      <c r="C650" s="243"/>
      <c r="F650" s="243"/>
      <c r="G650" s="243"/>
    </row>
    <row r="651" spans="1:7" ht="19.5" customHeight="1">
      <c r="A651" s="243"/>
      <c r="B651" s="243"/>
      <c r="C651" s="243"/>
      <c r="F651" s="243"/>
      <c r="G651" s="243"/>
    </row>
    <row r="652" spans="1:7" ht="19.5" customHeight="1">
      <c r="A652" s="243"/>
      <c r="B652" s="243"/>
      <c r="C652" s="243"/>
      <c r="F652" s="243"/>
      <c r="G652" s="243"/>
    </row>
    <row r="653" spans="1:7" ht="19.5" customHeight="1">
      <c r="A653" s="243"/>
      <c r="B653" s="243"/>
      <c r="C653" s="243"/>
      <c r="F653" s="243"/>
      <c r="G653" s="243"/>
    </row>
    <row r="654" spans="1:7" ht="19.5" customHeight="1">
      <c r="A654" s="243"/>
      <c r="B654" s="243"/>
      <c r="C654" s="243"/>
      <c r="F654" s="243"/>
      <c r="G654" s="243"/>
    </row>
    <row r="655" spans="1:7" ht="19.5" customHeight="1">
      <c r="A655" s="243"/>
      <c r="B655" s="243"/>
      <c r="C655" s="243"/>
      <c r="F655" s="243"/>
      <c r="G655" s="243"/>
    </row>
    <row r="656" spans="1:7" ht="19.5" customHeight="1">
      <c r="A656" s="243"/>
      <c r="B656" s="243"/>
      <c r="C656" s="243"/>
      <c r="F656" s="243"/>
      <c r="G656" s="243"/>
    </row>
    <row r="657" spans="1:7" ht="19.5" customHeight="1">
      <c r="A657" s="243"/>
      <c r="B657" s="243"/>
      <c r="C657" s="243"/>
      <c r="F657" s="243"/>
      <c r="G657" s="243"/>
    </row>
    <row r="658" spans="1:7" ht="19.5" customHeight="1">
      <c r="A658" s="243"/>
      <c r="B658" s="243"/>
      <c r="C658" s="243"/>
      <c r="F658" s="243"/>
      <c r="G658" s="243"/>
    </row>
    <row r="659" spans="1:7" ht="19.5" customHeight="1">
      <c r="A659" s="243"/>
      <c r="B659" s="243"/>
      <c r="C659" s="243"/>
      <c r="F659" s="243"/>
      <c r="G659" s="243"/>
    </row>
    <row r="660" spans="1:7" ht="19.5" customHeight="1">
      <c r="A660" s="243"/>
      <c r="B660" s="243"/>
      <c r="C660" s="243"/>
      <c r="F660" s="243"/>
      <c r="G660" s="243"/>
    </row>
    <row r="661" spans="1:7" ht="19.5" customHeight="1">
      <c r="A661" s="243"/>
      <c r="B661" s="243"/>
      <c r="C661" s="243"/>
      <c r="F661" s="243"/>
      <c r="G661" s="243"/>
    </row>
    <row r="662" spans="1:7" ht="19.5" customHeight="1">
      <c r="A662" s="243"/>
      <c r="B662" s="243"/>
      <c r="C662" s="243"/>
      <c r="F662" s="243"/>
      <c r="G662" s="243"/>
    </row>
    <row r="663" spans="1:7" ht="19.5" customHeight="1">
      <c r="A663" s="243"/>
      <c r="B663" s="243"/>
      <c r="C663" s="243"/>
      <c r="F663" s="243"/>
      <c r="G663" s="243"/>
    </row>
    <row r="664" spans="1:7" ht="19.5" customHeight="1">
      <c r="A664" s="243"/>
      <c r="B664" s="243"/>
      <c r="C664" s="243"/>
      <c r="F664" s="243"/>
      <c r="G664" s="243"/>
    </row>
    <row r="665" spans="1:7" ht="19.5" customHeight="1">
      <c r="A665" s="243"/>
      <c r="B665" s="243"/>
      <c r="C665" s="243"/>
      <c r="F665" s="243"/>
      <c r="G665" s="243"/>
    </row>
    <row r="666" spans="1:7" ht="19.5" customHeight="1">
      <c r="A666" s="243"/>
      <c r="B666" s="243"/>
      <c r="C666" s="243"/>
      <c r="F666" s="243"/>
      <c r="G666" s="243"/>
    </row>
    <row r="667" spans="1:7" ht="19.5" customHeight="1">
      <c r="A667" s="243"/>
      <c r="B667" s="243"/>
      <c r="C667" s="243"/>
      <c r="F667" s="243"/>
      <c r="G667" s="243"/>
    </row>
    <row r="668" spans="1:7" ht="19.5" customHeight="1">
      <c r="A668" s="243"/>
      <c r="B668" s="243"/>
      <c r="C668" s="243"/>
      <c r="F668" s="243"/>
      <c r="G668" s="243"/>
    </row>
    <row r="669" spans="1:7" ht="19.5" customHeight="1">
      <c r="A669" s="243"/>
      <c r="B669" s="243"/>
      <c r="C669" s="243"/>
      <c r="F669" s="243"/>
      <c r="G669" s="243"/>
    </row>
    <row r="670" spans="1:7" ht="19.5" customHeight="1">
      <c r="A670" s="243"/>
      <c r="B670" s="243"/>
      <c r="C670" s="243"/>
      <c r="F670" s="243"/>
      <c r="G670" s="243"/>
    </row>
    <row r="671" spans="1:7" ht="19.5" customHeight="1">
      <c r="A671" s="243"/>
      <c r="B671" s="243"/>
      <c r="C671" s="243"/>
      <c r="F671" s="243"/>
      <c r="G671" s="243"/>
    </row>
    <row r="672" spans="1:7" ht="19.5" customHeight="1">
      <c r="A672" s="243"/>
      <c r="B672" s="243"/>
      <c r="C672" s="243"/>
      <c r="F672" s="243"/>
      <c r="G672" s="243"/>
    </row>
    <row r="673" spans="1:7" ht="19.5" customHeight="1">
      <c r="A673" s="243"/>
      <c r="B673" s="243"/>
      <c r="C673" s="243"/>
      <c r="F673" s="243"/>
      <c r="G673" s="243"/>
    </row>
    <row r="674" spans="1:7" ht="19.5" customHeight="1">
      <c r="A674" s="243"/>
      <c r="B674" s="243"/>
      <c r="C674" s="243"/>
      <c r="F674" s="243"/>
      <c r="G674" s="243"/>
    </row>
    <row r="675" spans="1:7" ht="19.5" customHeight="1">
      <c r="A675" s="243"/>
      <c r="B675" s="243"/>
      <c r="C675" s="243"/>
      <c r="F675" s="243"/>
      <c r="G675" s="243"/>
    </row>
    <row r="676" spans="1:7" ht="19.5" customHeight="1">
      <c r="A676" s="243"/>
      <c r="B676" s="243"/>
      <c r="C676" s="243"/>
      <c r="F676" s="243"/>
      <c r="G676" s="243"/>
    </row>
    <row r="677" spans="1:7" ht="19.5" customHeight="1">
      <c r="A677" s="243"/>
      <c r="B677" s="243"/>
      <c r="C677" s="243"/>
      <c r="F677" s="243"/>
      <c r="G677" s="243"/>
    </row>
    <row r="678" spans="1:7" ht="19.5" customHeight="1">
      <c r="A678" s="243"/>
      <c r="B678" s="243"/>
      <c r="C678" s="243"/>
      <c r="F678" s="243"/>
      <c r="G678" s="243"/>
    </row>
    <row r="679" spans="1:7" ht="19.5" customHeight="1">
      <c r="A679" s="243"/>
      <c r="B679" s="243"/>
      <c r="C679" s="243"/>
      <c r="F679" s="243"/>
      <c r="G679" s="243"/>
    </row>
    <row r="680" spans="1:7" ht="19.5" customHeight="1">
      <c r="A680" s="243"/>
      <c r="B680" s="243"/>
      <c r="C680" s="243"/>
      <c r="F680" s="243"/>
      <c r="G680" s="243"/>
    </row>
    <row r="681" spans="1:7" ht="19.5" customHeight="1">
      <c r="A681" s="243"/>
      <c r="B681" s="243"/>
      <c r="C681" s="243"/>
      <c r="F681" s="243"/>
      <c r="G681" s="243"/>
    </row>
    <row r="682" spans="1:7" ht="19.5" customHeight="1">
      <c r="A682" s="243"/>
      <c r="B682" s="243"/>
      <c r="C682" s="243"/>
      <c r="F682" s="243"/>
      <c r="G682" s="243"/>
    </row>
    <row r="683" spans="1:7" ht="19.5" customHeight="1">
      <c r="A683" s="243"/>
      <c r="B683" s="243"/>
      <c r="C683" s="243"/>
      <c r="F683" s="243"/>
      <c r="G683" s="243"/>
    </row>
    <row r="684" spans="1:7" ht="19.5" customHeight="1">
      <c r="A684" s="243"/>
      <c r="B684" s="243"/>
      <c r="C684" s="243"/>
      <c r="F684" s="243"/>
      <c r="G684" s="243"/>
    </row>
    <row r="685" spans="1:7" ht="19.5" customHeight="1">
      <c r="A685" s="243"/>
      <c r="B685" s="243"/>
      <c r="C685" s="243"/>
      <c r="F685" s="243"/>
      <c r="G685" s="243"/>
    </row>
    <row r="686" spans="1:7" ht="19.5" customHeight="1">
      <c r="A686" s="243"/>
      <c r="B686" s="243"/>
      <c r="C686" s="243"/>
      <c r="F686" s="243"/>
      <c r="G686" s="243"/>
    </row>
    <row r="687" spans="1:7" ht="19.5" customHeight="1">
      <c r="A687" s="243"/>
      <c r="B687" s="243"/>
      <c r="C687" s="243"/>
      <c r="F687" s="243"/>
      <c r="G687" s="243"/>
    </row>
    <row r="688" spans="1:7" ht="19.5" customHeight="1">
      <c r="A688" s="243"/>
      <c r="B688" s="243"/>
      <c r="C688" s="243"/>
      <c r="F688" s="243"/>
      <c r="G688" s="243"/>
    </row>
    <row r="689" spans="1:7" ht="19.5" customHeight="1">
      <c r="A689" s="243"/>
      <c r="B689" s="243"/>
      <c r="C689" s="243"/>
      <c r="F689" s="243"/>
      <c r="G689" s="243"/>
    </row>
    <row r="690" spans="1:7" ht="19.5" customHeight="1">
      <c r="A690" s="243"/>
      <c r="B690" s="243"/>
      <c r="C690" s="243"/>
      <c r="F690" s="243"/>
      <c r="G690" s="243"/>
    </row>
    <row r="691" spans="1:7" ht="19.5" customHeight="1">
      <c r="A691" s="243"/>
      <c r="B691" s="243"/>
      <c r="C691" s="243"/>
      <c r="F691" s="243"/>
      <c r="G691" s="243"/>
    </row>
    <row r="692" spans="1:7" ht="19.5" customHeight="1">
      <c r="A692" s="243"/>
      <c r="B692" s="243"/>
      <c r="C692" s="243"/>
      <c r="F692" s="243"/>
      <c r="G692" s="243"/>
    </row>
    <row r="693" spans="1:7" ht="19.5" customHeight="1">
      <c r="A693" s="243"/>
      <c r="B693" s="243"/>
      <c r="C693" s="243"/>
      <c r="F693" s="243"/>
      <c r="G693" s="243"/>
    </row>
    <row r="694" spans="1:7" ht="19.5" customHeight="1">
      <c r="A694" s="243"/>
      <c r="B694" s="243"/>
      <c r="C694" s="243"/>
      <c r="F694" s="243"/>
      <c r="G694" s="243"/>
    </row>
    <row r="695" spans="1:7" ht="19.5" customHeight="1">
      <c r="A695" s="243"/>
      <c r="B695" s="243"/>
      <c r="C695" s="243"/>
      <c r="F695" s="243"/>
      <c r="G695" s="243"/>
    </row>
    <row r="696" spans="1:7" ht="19.5" customHeight="1">
      <c r="A696" s="243"/>
      <c r="B696" s="243"/>
      <c r="C696" s="243"/>
      <c r="F696" s="243"/>
      <c r="G696" s="243"/>
    </row>
    <row r="697" spans="1:7" ht="19.5" customHeight="1">
      <c r="A697" s="243"/>
      <c r="B697" s="243"/>
      <c r="C697" s="243"/>
      <c r="F697" s="243"/>
      <c r="G697" s="243"/>
    </row>
    <row r="698" spans="1:7" ht="19.5" customHeight="1">
      <c r="A698" s="243"/>
      <c r="B698" s="243"/>
      <c r="C698" s="243"/>
      <c r="F698" s="243"/>
      <c r="G698" s="243"/>
    </row>
    <row r="699" spans="1:7" ht="19.5" customHeight="1">
      <c r="A699" s="243"/>
      <c r="B699" s="243"/>
      <c r="C699" s="243"/>
      <c r="F699" s="243"/>
      <c r="G699" s="243"/>
    </row>
    <row r="700" spans="1:7" ht="19.5" customHeight="1">
      <c r="A700" s="243"/>
      <c r="B700" s="243"/>
      <c r="C700" s="243"/>
      <c r="F700" s="243"/>
      <c r="G700" s="243"/>
    </row>
    <row r="701" spans="1:7" ht="19.5" customHeight="1">
      <c r="A701" s="243"/>
      <c r="B701" s="243"/>
      <c r="C701" s="243"/>
      <c r="F701" s="243"/>
      <c r="G701" s="243"/>
    </row>
    <row r="702" spans="1:7" ht="19.5" customHeight="1">
      <c r="A702" s="243"/>
      <c r="B702" s="243"/>
      <c r="C702" s="243"/>
      <c r="F702" s="243"/>
      <c r="G702" s="243"/>
    </row>
    <row r="703" spans="1:7" ht="19.5" customHeight="1">
      <c r="A703" s="243"/>
      <c r="B703" s="243"/>
      <c r="C703" s="243"/>
      <c r="F703" s="243"/>
      <c r="G703" s="243"/>
    </row>
    <row r="704" spans="1:7" ht="19.5" customHeight="1">
      <c r="A704" s="243"/>
      <c r="B704" s="243"/>
      <c r="C704" s="243"/>
      <c r="F704" s="243"/>
      <c r="G704" s="243"/>
    </row>
    <row r="705" spans="1:7" ht="19.5" customHeight="1">
      <c r="A705" s="243"/>
      <c r="B705" s="243"/>
      <c r="C705" s="243"/>
      <c r="F705" s="243"/>
      <c r="G705" s="243"/>
    </row>
    <row r="706" spans="1:7" ht="19.5" customHeight="1">
      <c r="A706" s="243"/>
      <c r="B706" s="243"/>
      <c r="C706" s="243"/>
      <c r="F706" s="243"/>
      <c r="G706" s="243"/>
    </row>
    <row r="707" spans="1:7" ht="19.5" customHeight="1">
      <c r="A707" s="243"/>
      <c r="B707" s="243"/>
      <c r="C707" s="243"/>
      <c r="F707" s="243"/>
      <c r="G707" s="243"/>
    </row>
    <row r="708" spans="1:7" ht="19.5" customHeight="1">
      <c r="A708" s="243"/>
      <c r="B708" s="243"/>
      <c r="C708" s="243"/>
      <c r="F708" s="243"/>
      <c r="G708" s="243"/>
    </row>
    <row r="709" spans="1:7" ht="19.5" customHeight="1">
      <c r="A709" s="243"/>
      <c r="B709" s="243"/>
      <c r="C709" s="243"/>
      <c r="F709" s="243"/>
      <c r="G709" s="243"/>
    </row>
    <row r="710" spans="1:7" ht="19.5" customHeight="1">
      <c r="A710" s="243"/>
      <c r="B710" s="243"/>
      <c r="C710" s="243"/>
      <c r="F710" s="243"/>
      <c r="G710" s="243"/>
    </row>
    <row r="711" spans="1:7" ht="19.5" customHeight="1">
      <c r="A711" s="243"/>
      <c r="B711" s="243"/>
      <c r="C711" s="243"/>
      <c r="F711" s="243"/>
      <c r="G711" s="243"/>
    </row>
    <row r="712" spans="1:7" ht="19.5" customHeight="1">
      <c r="A712" s="243"/>
      <c r="B712" s="243"/>
      <c r="C712" s="243"/>
      <c r="F712" s="243"/>
      <c r="G712" s="243"/>
    </row>
    <row r="713" spans="1:7" ht="19.5" customHeight="1">
      <c r="A713" s="243"/>
      <c r="B713" s="243"/>
      <c r="C713" s="243"/>
      <c r="F713" s="243"/>
      <c r="G713" s="243"/>
    </row>
    <row r="714" spans="1:7" ht="19.5" customHeight="1">
      <c r="A714" s="243"/>
      <c r="B714" s="243"/>
      <c r="C714" s="243"/>
      <c r="F714" s="243"/>
      <c r="G714" s="243"/>
    </row>
    <row r="715" spans="1:7" ht="19.5" customHeight="1">
      <c r="A715" s="243"/>
      <c r="B715" s="243"/>
      <c r="C715" s="243"/>
      <c r="F715" s="243"/>
      <c r="G715" s="243"/>
    </row>
    <row r="716" spans="1:7" ht="19.5" customHeight="1">
      <c r="A716" s="243"/>
      <c r="B716" s="243"/>
      <c r="C716" s="243"/>
      <c r="F716" s="243"/>
      <c r="G716" s="243"/>
    </row>
    <row r="717" spans="1:7" ht="19.5" customHeight="1">
      <c r="A717" s="243"/>
      <c r="B717" s="243"/>
      <c r="C717" s="243"/>
      <c r="F717" s="243"/>
      <c r="G717" s="243"/>
    </row>
    <row r="718" spans="1:7" ht="19.5" customHeight="1">
      <c r="A718" s="243"/>
      <c r="B718" s="243"/>
      <c r="C718" s="243"/>
      <c r="F718" s="243"/>
      <c r="G718" s="243"/>
    </row>
    <row r="719" spans="1:7" ht="19.5" customHeight="1">
      <c r="A719" s="243"/>
      <c r="B719" s="243"/>
      <c r="C719" s="243"/>
      <c r="F719" s="243"/>
      <c r="G719" s="243"/>
    </row>
    <row r="720" spans="1:7" ht="19.5" customHeight="1">
      <c r="A720" s="243"/>
      <c r="B720" s="243"/>
      <c r="C720" s="243"/>
      <c r="F720" s="243"/>
      <c r="G720" s="243"/>
    </row>
    <row r="721" spans="1:7" ht="19.5" customHeight="1">
      <c r="A721" s="243"/>
      <c r="B721" s="243"/>
      <c r="C721" s="243"/>
      <c r="F721" s="243"/>
      <c r="G721" s="243"/>
    </row>
    <row r="722" spans="1:7" ht="19.5" customHeight="1">
      <c r="A722" s="243"/>
      <c r="B722" s="243"/>
      <c r="C722" s="243"/>
      <c r="F722" s="243"/>
      <c r="G722" s="243"/>
    </row>
    <row r="723" spans="1:7" ht="19.5" customHeight="1">
      <c r="A723" s="243"/>
      <c r="B723" s="243"/>
      <c r="C723" s="243"/>
      <c r="F723" s="243"/>
      <c r="G723" s="243"/>
    </row>
    <row r="724" spans="1:7" ht="19.5" customHeight="1">
      <c r="A724" s="243"/>
      <c r="B724" s="243"/>
      <c r="C724" s="243"/>
      <c r="F724" s="243"/>
      <c r="G724" s="243"/>
    </row>
    <row r="725" spans="1:7" ht="19.5" customHeight="1">
      <c r="A725" s="243"/>
      <c r="B725" s="243"/>
      <c r="C725" s="243"/>
      <c r="F725" s="243"/>
      <c r="G725" s="243"/>
    </row>
    <row r="726" spans="1:7" ht="19.5" customHeight="1">
      <c r="A726" s="243"/>
      <c r="B726" s="243"/>
      <c r="C726" s="243"/>
      <c r="F726" s="243"/>
      <c r="G726" s="243"/>
    </row>
    <row r="727" spans="1:7" ht="19.5" customHeight="1">
      <c r="A727" s="243"/>
      <c r="B727" s="243"/>
      <c r="C727" s="243"/>
      <c r="F727" s="243"/>
      <c r="G727" s="243"/>
    </row>
    <row r="728" spans="1:7" ht="19.5" customHeight="1">
      <c r="A728" s="243"/>
      <c r="B728" s="243"/>
      <c r="C728" s="243"/>
      <c r="F728" s="243"/>
      <c r="G728" s="243"/>
    </row>
    <row r="729" spans="1:7" ht="19.5" customHeight="1">
      <c r="A729" s="243"/>
      <c r="B729" s="243"/>
      <c r="C729" s="243"/>
      <c r="F729" s="243"/>
      <c r="G729" s="243"/>
    </row>
    <row r="730" spans="1:7" ht="19.5" customHeight="1">
      <c r="A730" s="243"/>
      <c r="B730" s="243"/>
      <c r="C730" s="243"/>
      <c r="F730" s="243"/>
      <c r="G730" s="243"/>
    </row>
    <row r="731" spans="1:7" ht="19.5" customHeight="1">
      <c r="A731" s="243"/>
      <c r="B731" s="243"/>
      <c r="C731" s="243"/>
      <c r="F731" s="243"/>
      <c r="G731" s="243"/>
    </row>
    <row r="732" spans="1:7" ht="19.5" customHeight="1">
      <c r="A732" s="243"/>
      <c r="B732" s="243"/>
      <c r="C732" s="243"/>
      <c r="F732" s="243"/>
      <c r="G732" s="243"/>
    </row>
    <row r="733" spans="1:7" ht="19.5" customHeight="1">
      <c r="A733" s="243"/>
      <c r="B733" s="243"/>
      <c r="C733" s="243"/>
      <c r="F733" s="243"/>
      <c r="G733" s="243"/>
    </row>
    <row r="734" spans="1:7" ht="19.5" customHeight="1">
      <c r="A734" s="243"/>
      <c r="B734" s="243"/>
      <c r="C734" s="243"/>
      <c r="F734" s="243"/>
      <c r="G734" s="243"/>
    </row>
    <row r="735" spans="1:7" ht="19.5" customHeight="1">
      <c r="A735" s="243"/>
      <c r="B735" s="243"/>
      <c r="C735" s="243"/>
      <c r="F735" s="243"/>
      <c r="G735" s="243"/>
    </row>
    <row r="736" spans="1:7" ht="19.5" customHeight="1">
      <c r="A736" s="243"/>
      <c r="B736" s="243"/>
      <c r="C736" s="243"/>
      <c r="F736" s="243"/>
      <c r="G736" s="243"/>
    </row>
    <row r="737" spans="1:7" ht="19.5" customHeight="1">
      <c r="A737" s="243"/>
      <c r="B737" s="243"/>
      <c r="C737" s="243"/>
      <c r="F737" s="243"/>
      <c r="G737" s="243"/>
    </row>
    <row r="738" spans="1:7" ht="19.5" customHeight="1">
      <c r="A738" s="243"/>
      <c r="B738" s="243"/>
      <c r="C738" s="243"/>
      <c r="F738" s="243"/>
      <c r="G738" s="243"/>
    </row>
    <row r="739" spans="1:7" ht="19.5" customHeight="1">
      <c r="A739" s="243"/>
      <c r="B739" s="243"/>
      <c r="C739" s="243"/>
      <c r="F739" s="243"/>
      <c r="G739" s="243"/>
    </row>
    <row r="740" spans="1:7" ht="19.5" customHeight="1">
      <c r="A740" s="243"/>
      <c r="B740" s="243"/>
      <c r="C740" s="243"/>
      <c r="F740" s="243"/>
      <c r="G740" s="243"/>
    </row>
    <row r="741" spans="1:7" ht="19.5" customHeight="1">
      <c r="A741" s="243"/>
      <c r="B741" s="243"/>
      <c r="C741" s="243"/>
      <c r="F741" s="243"/>
      <c r="G741" s="243"/>
    </row>
    <row r="742" spans="1:7" ht="19.5" customHeight="1">
      <c r="A742" s="243"/>
      <c r="B742" s="243"/>
      <c r="C742" s="243"/>
      <c r="F742" s="243"/>
      <c r="G742" s="243"/>
    </row>
    <row r="743" spans="1:7" ht="19.5" customHeight="1">
      <c r="A743" s="243"/>
      <c r="B743" s="243"/>
      <c r="C743" s="243"/>
      <c r="F743" s="243"/>
      <c r="G743" s="243"/>
    </row>
    <row r="744" spans="1:7" ht="19.5" customHeight="1">
      <c r="A744" s="243"/>
      <c r="B744" s="243"/>
      <c r="C744" s="243"/>
      <c r="F744" s="243"/>
      <c r="G744" s="243"/>
    </row>
    <row r="745" spans="1:7" ht="19.5" customHeight="1">
      <c r="A745" s="243"/>
      <c r="B745" s="243"/>
      <c r="C745" s="243"/>
      <c r="F745" s="243"/>
      <c r="G745" s="243"/>
    </row>
    <row r="746" spans="1:7" ht="19.5" customHeight="1">
      <c r="A746" s="243"/>
      <c r="B746" s="243"/>
      <c r="C746" s="243"/>
      <c r="F746" s="243"/>
      <c r="G746" s="243"/>
    </row>
    <row r="747" spans="1:7" ht="19.5" customHeight="1">
      <c r="A747" s="243"/>
      <c r="B747" s="243"/>
      <c r="C747" s="243"/>
      <c r="F747" s="243"/>
      <c r="G747" s="243"/>
    </row>
    <row r="748" spans="1:7" ht="19.5" customHeight="1">
      <c r="A748" s="243"/>
      <c r="B748" s="243"/>
      <c r="C748" s="243"/>
      <c r="F748" s="243"/>
      <c r="G748" s="243"/>
    </row>
    <row r="749" spans="1:7" ht="19.5" customHeight="1">
      <c r="A749" s="243"/>
      <c r="B749" s="243"/>
      <c r="C749" s="243"/>
      <c r="F749" s="243"/>
      <c r="G749" s="243"/>
    </row>
    <row r="750" spans="1:7" ht="19.5" customHeight="1">
      <c r="A750" s="243"/>
      <c r="B750" s="243"/>
      <c r="C750" s="243"/>
      <c r="F750" s="243"/>
      <c r="G750" s="243"/>
    </row>
    <row r="751" spans="1:7" ht="19.5" customHeight="1">
      <c r="A751" s="243"/>
      <c r="B751" s="243"/>
      <c r="C751" s="243"/>
      <c r="F751" s="243"/>
      <c r="G751" s="243"/>
    </row>
    <row r="752" spans="1:7" ht="19.5" customHeight="1">
      <c r="A752" s="243"/>
      <c r="B752" s="243"/>
      <c r="C752" s="243"/>
      <c r="F752" s="243"/>
      <c r="G752" s="243"/>
    </row>
    <row r="753" spans="1:7" ht="19.5" customHeight="1">
      <c r="A753" s="243"/>
      <c r="B753" s="243"/>
      <c r="C753" s="243"/>
      <c r="F753" s="243"/>
      <c r="G753" s="243"/>
    </row>
    <row r="754" spans="1:7" ht="19.5" customHeight="1">
      <c r="A754" s="243"/>
      <c r="B754" s="243"/>
      <c r="C754" s="243"/>
      <c r="F754" s="243"/>
      <c r="G754" s="243"/>
    </row>
    <row r="755" spans="1:7" ht="19.5" customHeight="1">
      <c r="A755" s="243"/>
      <c r="B755" s="243"/>
      <c r="C755" s="243"/>
      <c r="F755" s="243"/>
      <c r="G755" s="243"/>
    </row>
    <row r="756" spans="1:7" ht="19.5" customHeight="1">
      <c r="A756" s="243"/>
      <c r="B756" s="243"/>
      <c r="C756" s="243"/>
      <c r="F756" s="243"/>
      <c r="G756" s="243"/>
    </row>
    <row r="757" spans="1:7" ht="19.5" customHeight="1">
      <c r="A757" s="243"/>
      <c r="B757" s="243"/>
      <c r="C757" s="243"/>
      <c r="F757" s="243"/>
      <c r="G757" s="243"/>
    </row>
    <row r="758" spans="1:7" ht="19.5" customHeight="1">
      <c r="A758" s="243"/>
      <c r="B758" s="243"/>
      <c r="C758" s="243"/>
      <c r="F758" s="243"/>
      <c r="G758" s="243"/>
    </row>
    <row r="759" spans="1:7" ht="19.5" customHeight="1">
      <c r="A759" s="243"/>
      <c r="B759" s="243"/>
      <c r="C759" s="243"/>
      <c r="F759" s="243"/>
      <c r="G759" s="243"/>
    </row>
    <row r="760" spans="1:7" ht="19.5" customHeight="1">
      <c r="A760" s="243"/>
      <c r="B760" s="243"/>
      <c r="C760" s="243"/>
      <c r="F760" s="243"/>
      <c r="G760" s="243"/>
    </row>
    <row r="761" spans="1:7" ht="19.5" customHeight="1">
      <c r="A761" s="243"/>
      <c r="B761" s="243"/>
      <c r="C761" s="243"/>
      <c r="F761" s="243"/>
      <c r="G761" s="243"/>
    </row>
    <row r="762" spans="1:7" ht="19.5" customHeight="1">
      <c r="A762" s="243"/>
      <c r="B762" s="243"/>
      <c r="C762" s="243"/>
      <c r="F762" s="243"/>
      <c r="G762" s="243"/>
    </row>
    <row r="763" spans="1:7" ht="19.5" customHeight="1">
      <c r="A763" s="243"/>
      <c r="B763" s="243"/>
      <c r="C763" s="243"/>
      <c r="F763" s="243"/>
      <c r="G763" s="243"/>
    </row>
    <row r="764" spans="1:7" ht="19.5" customHeight="1">
      <c r="A764" s="243"/>
      <c r="B764" s="243"/>
      <c r="C764" s="243"/>
      <c r="F764" s="243"/>
      <c r="G764" s="243"/>
    </row>
    <row r="765" spans="1:7" ht="19.5" customHeight="1">
      <c r="A765" s="243"/>
      <c r="B765" s="243"/>
      <c r="C765" s="243"/>
      <c r="F765" s="243"/>
      <c r="G765" s="243"/>
    </row>
    <row r="766" spans="1:7" ht="19.5" customHeight="1">
      <c r="A766" s="243"/>
      <c r="B766" s="243"/>
      <c r="C766" s="243"/>
      <c r="F766" s="243"/>
      <c r="G766" s="243"/>
    </row>
    <row r="767" spans="1:7" ht="19.5" customHeight="1">
      <c r="A767" s="243"/>
      <c r="B767" s="243"/>
      <c r="C767" s="243"/>
      <c r="F767" s="243"/>
      <c r="G767" s="243"/>
    </row>
    <row r="768" spans="1:7" ht="19.5" customHeight="1">
      <c r="A768" s="243"/>
      <c r="B768" s="243"/>
      <c r="C768" s="243"/>
      <c r="F768" s="243"/>
      <c r="G768" s="243"/>
    </row>
    <row r="769" spans="1:7" ht="19.5" customHeight="1">
      <c r="A769" s="243"/>
      <c r="B769" s="243"/>
      <c r="C769" s="243"/>
      <c r="F769" s="243"/>
      <c r="G769" s="243"/>
    </row>
    <row r="770" spans="1:7" ht="19.5" customHeight="1">
      <c r="A770" s="243"/>
      <c r="B770" s="243"/>
      <c r="C770" s="243"/>
      <c r="F770" s="243"/>
      <c r="G770" s="243"/>
    </row>
    <row r="771" spans="1:7" ht="19.5" customHeight="1">
      <c r="A771" s="243"/>
      <c r="B771" s="243"/>
      <c r="C771" s="243"/>
      <c r="F771" s="243"/>
      <c r="G771" s="243"/>
    </row>
    <row r="772" spans="1:7" ht="19.5" customHeight="1">
      <c r="A772" s="243"/>
      <c r="B772" s="243"/>
      <c r="C772" s="243"/>
      <c r="F772" s="243"/>
      <c r="G772" s="243"/>
    </row>
    <row r="773" spans="1:7" ht="19.5" customHeight="1">
      <c r="A773" s="243"/>
      <c r="B773" s="243"/>
      <c r="C773" s="243"/>
      <c r="F773" s="243"/>
      <c r="G773" s="243"/>
    </row>
    <row r="774" spans="1:7" ht="19.5" customHeight="1">
      <c r="A774" s="243"/>
      <c r="B774" s="243"/>
      <c r="C774" s="243"/>
      <c r="F774" s="243"/>
      <c r="G774" s="243"/>
    </row>
    <row r="775" spans="1:7" ht="19.5" customHeight="1">
      <c r="A775" s="243"/>
      <c r="B775" s="243"/>
      <c r="C775" s="243"/>
      <c r="F775" s="243"/>
      <c r="G775" s="243"/>
    </row>
    <row r="776" spans="1:7" ht="19.5" customHeight="1">
      <c r="A776" s="243"/>
      <c r="B776" s="243"/>
      <c r="C776" s="243"/>
      <c r="F776" s="243"/>
      <c r="G776" s="243"/>
    </row>
    <row r="777" spans="1:7" ht="19.5" customHeight="1">
      <c r="A777" s="243"/>
      <c r="B777" s="243"/>
      <c r="C777" s="243"/>
      <c r="F777" s="243"/>
      <c r="G777" s="243"/>
    </row>
    <row r="778" spans="1:7" ht="19.5" customHeight="1">
      <c r="A778" s="243"/>
      <c r="B778" s="243"/>
      <c r="C778" s="243"/>
      <c r="F778" s="243"/>
      <c r="G778" s="243"/>
    </row>
    <row r="779" spans="1:7" ht="19.5" customHeight="1">
      <c r="A779" s="243"/>
      <c r="B779" s="243"/>
      <c r="C779" s="243"/>
      <c r="F779" s="243"/>
      <c r="G779" s="243"/>
    </row>
    <row r="780" spans="1:7" ht="19.5" customHeight="1">
      <c r="A780" s="243"/>
      <c r="B780" s="243"/>
      <c r="C780" s="243"/>
      <c r="F780" s="243"/>
      <c r="G780" s="243"/>
    </row>
    <row r="781" spans="1:7" ht="19.5" customHeight="1">
      <c r="A781" s="243"/>
      <c r="B781" s="243"/>
      <c r="C781" s="243"/>
      <c r="F781" s="243"/>
      <c r="G781" s="243"/>
    </row>
    <row r="782" spans="1:7" ht="19.5" customHeight="1">
      <c r="A782" s="243"/>
      <c r="B782" s="243"/>
      <c r="C782" s="243"/>
      <c r="F782" s="243"/>
      <c r="G782" s="243"/>
    </row>
    <row r="783" spans="1:7" ht="19.5" customHeight="1">
      <c r="A783" s="243"/>
      <c r="B783" s="243"/>
      <c r="C783" s="243"/>
      <c r="F783" s="243"/>
      <c r="G783" s="243"/>
    </row>
    <row r="784" spans="1:7" ht="19.5" customHeight="1">
      <c r="A784" s="243"/>
      <c r="B784" s="243"/>
      <c r="C784" s="243"/>
      <c r="F784" s="243"/>
      <c r="G784" s="243"/>
    </row>
    <row r="785" spans="1:7" ht="19.5" customHeight="1">
      <c r="A785" s="243"/>
      <c r="B785" s="243"/>
      <c r="C785" s="243"/>
      <c r="F785" s="243"/>
      <c r="G785" s="243"/>
    </row>
    <row r="786" spans="1:7" ht="19.5" customHeight="1">
      <c r="A786" s="243"/>
      <c r="B786" s="243"/>
      <c r="C786" s="243"/>
      <c r="F786" s="243"/>
      <c r="G786" s="243"/>
    </row>
    <row r="787" spans="1:7" ht="19.5" customHeight="1">
      <c r="A787" s="243"/>
      <c r="B787" s="243"/>
      <c r="C787" s="243"/>
      <c r="F787" s="243"/>
      <c r="G787" s="243"/>
    </row>
    <row r="788" spans="1:7" ht="19.5" customHeight="1">
      <c r="A788" s="243"/>
      <c r="B788" s="243"/>
      <c r="C788" s="243"/>
      <c r="F788" s="243"/>
      <c r="G788" s="243"/>
    </row>
    <row r="789" spans="1:7" ht="19.5" customHeight="1">
      <c r="A789" s="243"/>
      <c r="B789" s="243"/>
      <c r="C789" s="243"/>
      <c r="F789" s="243"/>
      <c r="G789" s="243"/>
    </row>
    <row r="790" spans="1:7" ht="19.5" customHeight="1">
      <c r="A790" s="243"/>
      <c r="B790" s="243"/>
      <c r="C790" s="243"/>
      <c r="F790" s="243"/>
      <c r="G790" s="243"/>
    </row>
    <row r="791" spans="1:7" ht="19.5" customHeight="1">
      <c r="A791" s="243"/>
      <c r="B791" s="243"/>
      <c r="C791" s="243"/>
      <c r="F791" s="243"/>
      <c r="G791" s="243"/>
    </row>
    <row r="792" spans="1:7" ht="19.5" customHeight="1">
      <c r="A792" s="243"/>
      <c r="B792" s="243"/>
      <c r="C792" s="243"/>
      <c r="F792" s="243"/>
      <c r="G792" s="243"/>
    </row>
    <row r="793" spans="1:7" ht="19.5" customHeight="1">
      <c r="A793" s="243"/>
      <c r="B793" s="243"/>
      <c r="C793" s="243"/>
      <c r="F793" s="243"/>
      <c r="G793" s="243"/>
    </row>
    <row r="794" spans="1:7" ht="19.5" customHeight="1">
      <c r="A794" s="243"/>
      <c r="B794" s="243"/>
      <c r="C794" s="243"/>
      <c r="F794" s="243"/>
      <c r="G794" s="243"/>
    </row>
    <row r="795" spans="1:7" ht="19.5" customHeight="1">
      <c r="A795" s="243"/>
      <c r="B795" s="243"/>
      <c r="C795" s="243"/>
      <c r="F795" s="243"/>
      <c r="G795" s="243"/>
    </row>
    <row r="796" spans="1:7" ht="19.5" customHeight="1">
      <c r="A796" s="243"/>
      <c r="B796" s="243"/>
      <c r="C796" s="243"/>
      <c r="F796" s="243"/>
      <c r="G796" s="243"/>
    </row>
    <row r="797" spans="1:7" ht="19.5" customHeight="1">
      <c r="A797" s="243"/>
      <c r="B797" s="243"/>
      <c r="C797" s="243"/>
      <c r="F797" s="243"/>
      <c r="G797" s="243"/>
    </row>
    <row r="798" spans="1:7" ht="19.5" customHeight="1">
      <c r="A798" s="243"/>
      <c r="B798" s="243"/>
      <c r="C798" s="243"/>
      <c r="F798" s="243"/>
      <c r="G798" s="243"/>
    </row>
    <row r="799" spans="1:7" ht="19.5" customHeight="1">
      <c r="A799" s="243"/>
      <c r="B799" s="243"/>
      <c r="C799" s="243"/>
      <c r="F799" s="243"/>
      <c r="G799" s="243"/>
    </row>
    <row r="800" spans="1:7" ht="19.5" customHeight="1">
      <c r="A800" s="243"/>
      <c r="B800" s="243"/>
      <c r="C800" s="243"/>
      <c r="F800" s="243"/>
      <c r="G800" s="243"/>
    </row>
    <row r="801" spans="1:7" ht="19.5" customHeight="1">
      <c r="A801" s="243"/>
      <c r="B801" s="243"/>
      <c r="C801" s="243"/>
      <c r="F801" s="243"/>
      <c r="G801" s="243"/>
    </row>
    <row r="802" spans="1:7" ht="19.5" customHeight="1">
      <c r="A802" s="243"/>
      <c r="B802" s="243"/>
      <c r="C802" s="243"/>
      <c r="F802" s="243"/>
      <c r="G802" s="243"/>
    </row>
    <row r="803" spans="1:7" ht="19.5" customHeight="1">
      <c r="A803" s="243"/>
      <c r="B803" s="243"/>
      <c r="C803" s="243"/>
      <c r="F803" s="243"/>
      <c r="G803" s="243"/>
    </row>
    <row r="804" spans="1:7" ht="19.5" customHeight="1">
      <c r="A804" s="243"/>
      <c r="B804" s="243"/>
      <c r="C804" s="243"/>
      <c r="F804" s="243"/>
      <c r="G804" s="243"/>
    </row>
    <row r="805" spans="1:7" ht="19.5" customHeight="1">
      <c r="A805" s="243"/>
      <c r="B805" s="243"/>
      <c r="C805" s="243"/>
      <c r="F805" s="243"/>
      <c r="G805" s="243"/>
    </row>
    <row r="806" spans="1:7" ht="19.5" customHeight="1">
      <c r="A806" s="243"/>
      <c r="B806" s="243"/>
      <c r="C806" s="243"/>
      <c r="F806" s="243"/>
      <c r="G806" s="243"/>
    </row>
    <row r="807" spans="1:7" ht="19.5" customHeight="1">
      <c r="A807" s="243"/>
      <c r="B807" s="243"/>
      <c r="C807" s="243"/>
      <c r="F807" s="243"/>
      <c r="G807" s="243"/>
    </row>
    <row r="808" spans="1:7" ht="19.5" customHeight="1">
      <c r="A808" s="243"/>
      <c r="B808" s="243"/>
      <c r="C808" s="243"/>
      <c r="F808" s="243"/>
      <c r="G808" s="243"/>
    </row>
    <row r="809" spans="1:7" ht="19.5" customHeight="1">
      <c r="A809" s="243"/>
      <c r="B809" s="243"/>
      <c r="C809" s="243"/>
      <c r="F809" s="243"/>
      <c r="G809" s="243"/>
    </row>
    <row r="810" spans="1:7" ht="19.5" customHeight="1">
      <c r="A810" s="243"/>
      <c r="B810" s="243"/>
      <c r="C810" s="243"/>
      <c r="F810" s="243"/>
      <c r="G810" s="243"/>
    </row>
    <row r="811" spans="1:7" ht="19.5" customHeight="1">
      <c r="A811" s="243"/>
      <c r="B811" s="243"/>
      <c r="C811" s="243"/>
      <c r="F811" s="243"/>
      <c r="G811" s="243"/>
    </row>
    <row r="812" spans="1:7" ht="19.5" customHeight="1">
      <c r="A812" s="243"/>
      <c r="B812" s="243"/>
      <c r="C812" s="243"/>
      <c r="F812" s="243"/>
      <c r="G812" s="243"/>
    </row>
    <row r="813" spans="1:7" ht="19.5" customHeight="1">
      <c r="A813" s="243"/>
      <c r="B813" s="243"/>
      <c r="C813" s="243"/>
      <c r="F813" s="243"/>
      <c r="G813" s="243"/>
    </row>
    <row r="814" spans="1:7" ht="19.5" customHeight="1">
      <c r="A814" s="243"/>
      <c r="B814" s="243"/>
      <c r="C814" s="243"/>
      <c r="F814" s="243"/>
      <c r="G814" s="243"/>
    </row>
    <row r="815" spans="1:7" ht="19.5" customHeight="1">
      <c r="A815" s="243"/>
      <c r="B815" s="243"/>
      <c r="C815" s="243"/>
      <c r="F815" s="243"/>
      <c r="G815" s="243"/>
    </row>
    <row r="816" spans="1:7" ht="19.5" customHeight="1">
      <c r="A816" s="243"/>
      <c r="B816" s="243"/>
      <c r="C816" s="243"/>
      <c r="F816" s="243"/>
      <c r="G816" s="243"/>
    </row>
    <row r="817" spans="1:7" ht="19.5" customHeight="1">
      <c r="A817" s="243"/>
      <c r="B817" s="243"/>
      <c r="C817" s="243"/>
      <c r="F817" s="243"/>
      <c r="G817" s="243"/>
    </row>
    <row r="818" spans="1:7" ht="19.5" customHeight="1">
      <c r="A818" s="243"/>
      <c r="B818" s="243"/>
      <c r="C818" s="243"/>
      <c r="F818" s="243"/>
      <c r="G818" s="243"/>
    </row>
    <row r="819" spans="1:7" ht="19.5" customHeight="1">
      <c r="A819" s="243"/>
      <c r="B819" s="243"/>
      <c r="C819" s="243"/>
      <c r="F819" s="243"/>
      <c r="G819" s="243"/>
    </row>
    <row r="820" spans="1:7" ht="19.5" customHeight="1">
      <c r="A820" s="243"/>
      <c r="B820" s="243"/>
      <c r="C820" s="243"/>
      <c r="F820" s="243"/>
      <c r="G820" s="243"/>
    </row>
    <row r="821" spans="1:7" ht="19.5" customHeight="1">
      <c r="A821" s="243"/>
      <c r="B821" s="243"/>
      <c r="C821" s="243"/>
      <c r="F821" s="243"/>
      <c r="G821" s="243"/>
    </row>
    <row r="822" spans="1:7" ht="19.5" customHeight="1">
      <c r="A822" s="243"/>
      <c r="B822" s="243"/>
      <c r="C822" s="243"/>
      <c r="F822" s="243"/>
      <c r="G822" s="243"/>
    </row>
    <row r="823" spans="1:7" ht="19.5" customHeight="1">
      <c r="A823" s="243"/>
      <c r="B823" s="243"/>
      <c r="C823" s="243"/>
      <c r="F823" s="243"/>
      <c r="G823" s="243"/>
    </row>
    <row r="824" spans="1:7" ht="19.5" customHeight="1">
      <c r="A824" s="243"/>
      <c r="B824" s="243"/>
      <c r="C824" s="243"/>
      <c r="F824" s="243"/>
      <c r="G824" s="243"/>
    </row>
    <row r="825" spans="1:7" ht="19.5" customHeight="1">
      <c r="A825" s="243"/>
      <c r="B825" s="243"/>
      <c r="C825" s="243"/>
      <c r="F825" s="243"/>
      <c r="G825" s="243"/>
    </row>
    <row r="826" spans="1:7" ht="19.5" customHeight="1">
      <c r="A826" s="243"/>
      <c r="B826" s="243"/>
      <c r="C826" s="243"/>
      <c r="F826" s="243"/>
      <c r="G826" s="243"/>
    </row>
    <row r="827" spans="1:7" ht="19.5" customHeight="1">
      <c r="A827" s="243"/>
      <c r="B827" s="243"/>
      <c r="C827" s="243"/>
      <c r="F827" s="243"/>
      <c r="G827" s="243"/>
    </row>
    <row r="828" spans="1:7" ht="19.5" customHeight="1">
      <c r="A828" s="243"/>
      <c r="B828" s="243"/>
      <c r="C828" s="243"/>
      <c r="F828" s="243"/>
      <c r="G828" s="243"/>
    </row>
    <row r="829" spans="1:7" ht="19.5" customHeight="1">
      <c r="A829" s="243"/>
      <c r="B829" s="243"/>
      <c r="C829" s="243"/>
      <c r="F829" s="243"/>
      <c r="G829" s="243"/>
    </row>
    <row r="830" spans="1:7" ht="19.5" customHeight="1">
      <c r="A830" s="243"/>
      <c r="B830" s="243"/>
      <c r="C830" s="243"/>
      <c r="F830" s="243"/>
      <c r="G830" s="243"/>
    </row>
    <row r="831" spans="1:7" ht="19.5" customHeight="1">
      <c r="A831" s="243"/>
      <c r="B831" s="243"/>
      <c r="C831" s="243"/>
      <c r="F831" s="243"/>
      <c r="G831" s="243"/>
    </row>
    <row r="832" spans="1:7" ht="19.5" customHeight="1">
      <c r="A832" s="243"/>
      <c r="B832" s="243"/>
      <c r="C832" s="243"/>
      <c r="F832" s="243"/>
      <c r="G832" s="243"/>
    </row>
    <row r="833" spans="1:7" ht="19.5" customHeight="1">
      <c r="A833" s="243"/>
      <c r="B833" s="243"/>
      <c r="C833" s="243"/>
      <c r="F833" s="243"/>
      <c r="G833" s="243"/>
    </row>
    <row r="834" spans="1:7" ht="19.5" customHeight="1">
      <c r="A834" s="243"/>
      <c r="B834" s="243"/>
      <c r="C834" s="243"/>
      <c r="F834" s="243"/>
      <c r="G834" s="243"/>
    </row>
    <row r="835" spans="1:7" ht="19.5" customHeight="1">
      <c r="A835" s="243"/>
      <c r="B835" s="243"/>
      <c r="C835" s="243"/>
      <c r="F835" s="243"/>
      <c r="G835" s="243"/>
    </row>
    <row r="836" spans="1:7" ht="19.5" customHeight="1">
      <c r="A836" s="243"/>
      <c r="B836" s="243"/>
      <c r="C836" s="243"/>
      <c r="F836" s="243"/>
      <c r="G836" s="243"/>
    </row>
    <row r="837" spans="1:7" ht="19.5" customHeight="1">
      <c r="A837" s="243"/>
      <c r="B837" s="243"/>
      <c r="C837" s="243"/>
      <c r="F837" s="243"/>
      <c r="G837" s="243"/>
    </row>
    <row r="838" spans="1:7" ht="19.5" customHeight="1">
      <c r="A838" s="243"/>
      <c r="B838" s="243"/>
      <c r="C838" s="243"/>
      <c r="F838" s="243"/>
      <c r="G838" s="243"/>
    </row>
    <row r="839" spans="1:7" ht="19.5" customHeight="1">
      <c r="A839" s="243"/>
      <c r="B839" s="243"/>
      <c r="C839" s="243"/>
      <c r="F839" s="243"/>
      <c r="G839" s="243"/>
    </row>
    <row r="840" spans="1:7" ht="19.5" customHeight="1">
      <c r="A840" s="243"/>
      <c r="B840" s="243"/>
      <c r="C840" s="243"/>
      <c r="F840" s="243"/>
      <c r="G840" s="243"/>
    </row>
    <row r="841" spans="1:7" ht="19.5" customHeight="1">
      <c r="A841" s="243"/>
      <c r="B841" s="243"/>
      <c r="C841" s="243"/>
      <c r="F841" s="243"/>
      <c r="G841" s="243"/>
    </row>
    <row r="842" spans="1:7" ht="19.5" customHeight="1">
      <c r="A842" s="243"/>
      <c r="B842" s="243"/>
      <c r="C842" s="243"/>
      <c r="F842" s="243"/>
      <c r="G842" s="243"/>
    </row>
    <row r="843" spans="1:7" ht="19.5" customHeight="1">
      <c r="A843" s="243"/>
      <c r="B843" s="243"/>
      <c r="C843" s="243"/>
      <c r="F843" s="243"/>
      <c r="G843" s="243"/>
    </row>
    <row r="844" spans="1:7" ht="19.5" customHeight="1">
      <c r="A844" s="243"/>
      <c r="B844" s="243"/>
      <c r="C844" s="243"/>
      <c r="F844" s="243"/>
      <c r="G844" s="243"/>
    </row>
    <row r="845" spans="1:7" ht="19.5" customHeight="1">
      <c r="A845" s="243"/>
      <c r="B845" s="243"/>
      <c r="C845" s="243"/>
      <c r="F845" s="243"/>
      <c r="G845" s="243"/>
    </row>
    <row r="846" spans="1:7" ht="19.5" customHeight="1">
      <c r="A846" s="243"/>
      <c r="B846" s="243"/>
      <c r="C846" s="243"/>
      <c r="F846" s="243"/>
      <c r="G846" s="243"/>
    </row>
    <row r="847" spans="1:7" ht="19.5" customHeight="1">
      <c r="A847" s="243"/>
      <c r="B847" s="243"/>
      <c r="C847" s="243"/>
      <c r="F847" s="243"/>
      <c r="G847" s="243"/>
    </row>
    <row r="848" spans="1:7" ht="19.5" customHeight="1">
      <c r="A848" s="243"/>
      <c r="B848" s="243"/>
      <c r="C848" s="243"/>
      <c r="F848" s="243"/>
      <c r="G848" s="243"/>
    </row>
    <row r="849" spans="1:7" ht="19.5" customHeight="1">
      <c r="A849" s="243"/>
      <c r="B849" s="243"/>
      <c r="C849" s="243"/>
      <c r="F849" s="243"/>
      <c r="G849" s="243"/>
    </row>
    <row r="850" spans="1:7" ht="19.5" customHeight="1">
      <c r="A850" s="243"/>
      <c r="B850" s="243"/>
      <c r="C850" s="243"/>
      <c r="F850" s="243"/>
      <c r="G850" s="243"/>
    </row>
    <row r="851" spans="1:7" ht="19.5" customHeight="1">
      <c r="A851" s="243"/>
      <c r="B851" s="243"/>
      <c r="C851" s="243"/>
      <c r="F851" s="243"/>
      <c r="G851" s="243"/>
    </row>
    <row r="852" spans="1:7" ht="19.5" customHeight="1">
      <c r="A852" s="243"/>
      <c r="B852" s="243"/>
      <c r="C852" s="243"/>
      <c r="F852" s="243"/>
      <c r="G852" s="243"/>
    </row>
    <row r="853" spans="1:7" ht="19.5" customHeight="1">
      <c r="A853" s="243"/>
      <c r="B853" s="243"/>
      <c r="C853" s="243"/>
      <c r="F853" s="243"/>
      <c r="G853" s="243"/>
    </row>
    <row r="854" spans="1:7" ht="19.5" customHeight="1">
      <c r="A854" s="243"/>
      <c r="B854" s="243"/>
      <c r="C854" s="243"/>
      <c r="F854" s="243"/>
      <c r="G854" s="243"/>
    </row>
    <row r="855" spans="1:7" ht="19.5" customHeight="1">
      <c r="A855" s="286"/>
      <c r="B855" s="286"/>
      <c r="C855" s="286"/>
      <c r="D855" s="286"/>
      <c r="G855" s="288"/>
    </row>
    <row r="856" spans="1:7" ht="19.5" customHeight="1">
      <c r="A856" s="286"/>
      <c r="B856" s="286"/>
      <c r="C856" s="286"/>
      <c r="D856" s="286"/>
      <c r="G856" s="288"/>
    </row>
    <row r="857" spans="1:7" ht="19.5" customHeight="1">
      <c r="A857" s="286"/>
      <c r="B857" s="286"/>
      <c r="C857" s="286"/>
      <c r="D857" s="286"/>
      <c r="G857" s="288"/>
    </row>
    <row r="858" spans="1:7" ht="19.5" customHeight="1">
      <c r="A858" s="286"/>
      <c r="B858" s="286"/>
      <c r="C858" s="286"/>
      <c r="D858" s="286"/>
      <c r="G858" s="288"/>
    </row>
    <row r="859" spans="1:7" ht="19.5" customHeight="1">
      <c r="A859" s="286"/>
      <c r="B859" s="286"/>
      <c r="C859" s="286"/>
      <c r="D859" s="286"/>
      <c r="G859" s="288"/>
    </row>
  </sheetData>
  <sheetProtection/>
  <mergeCells count="48">
    <mergeCell ref="A138:B138"/>
    <mergeCell ref="A139:C139"/>
    <mergeCell ref="A92:G92"/>
    <mergeCell ref="A161:E161"/>
    <mergeCell ref="E1:G1"/>
    <mergeCell ref="A2:G2"/>
    <mergeCell ref="A3:G3"/>
    <mergeCell ref="A4:D4"/>
    <mergeCell ref="E4:E7"/>
    <mergeCell ref="A91:G91"/>
    <mergeCell ref="A94:G94"/>
    <mergeCell ref="A96:G96"/>
    <mergeCell ref="A97:G97"/>
    <mergeCell ref="A132:G132"/>
    <mergeCell ref="A130:G130"/>
    <mergeCell ref="A189:E189"/>
    <mergeCell ref="A134:D134"/>
    <mergeCell ref="A154:G154"/>
    <mergeCell ref="A144:G144"/>
    <mergeCell ref="A149:D149"/>
    <mergeCell ref="A135:D135"/>
    <mergeCell ref="A194:E194"/>
    <mergeCell ref="A165:G165"/>
    <mergeCell ref="A98:G98"/>
    <mergeCell ref="A192:E192"/>
    <mergeCell ref="A193:E193"/>
    <mergeCell ref="A177:E177"/>
    <mergeCell ref="A191:E191"/>
    <mergeCell ref="A155:G155"/>
    <mergeCell ref="A164:E164"/>
    <mergeCell ref="A190:E190"/>
    <mergeCell ref="A152:D152"/>
    <mergeCell ref="A174:E174"/>
    <mergeCell ref="A185:G185"/>
    <mergeCell ref="A186:G186"/>
    <mergeCell ref="A187:G187"/>
    <mergeCell ref="A166:G166"/>
    <mergeCell ref="A167:G167"/>
    <mergeCell ref="A129:G129"/>
    <mergeCell ref="A131:G131"/>
    <mergeCell ref="A145:G145"/>
    <mergeCell ref="A147:G147"/>
    <mergeCell ref="A146:G146"/>
    <mergeCell ref="A184:G184"/>
    <mergeCell ref="A178:E178"/>
    <mergeCell ref="A179:E179"/>
    <mergeCell ref="A180:E180"/>
    <mergeCell ref="A168:G168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9"/>
  <sheetViews>
    <sheetView zoomScaleSheetLayoutView="100" workbookViewId="0" topLeftCell="A1">
      <selection activeCell="D63" sqref="D63"/>
    </sheetView>
  </sheetViews>
  <sheetFormatPr defaultColWidth="9.140625" defaultRowHeight="12.75"/>
  <cols>
    <col min="1" max="1" width="42.28125" style="124" customWidth="1"/>
    <col min="2" max="2" width="7.140625" style="113" customWidth="1"/>
    <col min="3" max="3" width="12.00390625" style="114" customWidth="1"/>
    <col min="4" max="4" width="11.7109375" style="114" customWidth="1"/>
    <col min="5" max="5" width="11.8515625" style="114" bestFit="1" customWidth="1"/>
    <col min="6" max="6" width="12.8515625" style="114" customWidth="1"/>
    <col min="7" max="16384" width="9.140625" style="1" customWidth="1"/>
  </cols>
  <sheetData>
    <row r="1" spans="1:6" ht="18.75">
      <c r="A1" s="328"/>
      <c r="B1" s="328"/>
      <c r="C1" s="328"/>
      <c r="D1" s="328"/>
      <c r="E1" s="328"/>
      <c r="F1" s="328"/>
    </row>
    <row r="2" spans="1:6" ht="18.75">
      <c r="A2" s="328" t="s">
        <v>64</v>
      </c>
      <c r="B2" s="328"/>
      <c r="C2" s="328"/>
      <c r="D2" s="328"/>
      <c r="E2" s="328"/>
      <c r="F2" s="328"/>
    </row>
    <row r="3" spans="1:6" ht="18.75">
      <c r="A3" s="328" t="s">
        <v>507</v>
      </c>
      <c r="B3" s="328"/>
      <c r="C3" s="328"/>
      <c r="D3" s="328"/>
      <c r="E3" s="328"/>
      <c r="F3" s="328"/>
    </row>
    <row r="4" spans="1:6" ht="18.75">
      <c r="A4" s="328" t="s">
        <v>559</v>
      </c>
      <c r="B4" s="328"/>
      <c r="C4" s="328"/>
      <c r="D4" s="328"/>
      <c r="E4" s="328"/>
      <c r="F4" s="328"/>
    </row>
    <row r="5" spans="1:6" ht="18.75">
      <c r="A5" s="336"/>
      <c r="B5" s="336"/>
      <c r="C5" s="336"/>
      <c r="D5" s="336"/>
      <c r="E5" s="336"/>
      <c r="F5" s="336"/>
    </row>
    <row r="6" spans="1:6" ht="18.75">
      <c r="A6" s="331" t="s">
        <v>11</v>
      </c>
      <c r="B6" s="332"/>
      <c r="C6" s="333"/>
      <c r="D6" s="333"/>
      <c r="E6" s="333"/>
      <c r="F6" s="334"/>
    </row>
    <row r="7" spans="1:6" ht="18.75">
      <c r="A7" s="330" t="s">
        <v>24</v>
      </c>
      <c r="B7" s="329" t="s">
        <v>3</v>
      </c>
      <c r="C7" s="329" t="s">
        <v>22</v>
      </c>
      <c r="D7" s="329" t="s">
        <v>508</v>
      </c>
      <c r="E7" s="329" t="s">
        <v>37</v>
      </c>
      <c r="F7" s="101" t="s">
        <v>138</v>
      </c>
    </row>
    <row r="8" spans="1:6" ht="18.75">
      <c r="A8" s="330"/>
      <c r="B8" s="329"/>
      <c r="C8" s="329"/>
      <c r="D8" s="329"/>
      <c r="E8" s="329"/>
      <c r="F8" s="101" t="s">
        <v>22</v>
      </c>
    </row>
    <row r="9" spans="1:6" ht="18.75">
      <c r="A9" s="115" t="s">
        <v>38</v>
      </c>
      <c r="B9" s="106"/>
      <c r="C9" s="102"/>
      <c r="D9" s="102"/>
      <c r="E9" s="102"/>
      <c r="F9" s="102"/>
    </row>
    <row r="10" spans="1:6" ht="18.75">
      <c r="A10" s="116" t="s">
        <v>39</v>
      </c>
      <c r="B10" s="48" t="s">
        <v>348</v>
      </c>
      <c r="C10" s="50"/>
      <c r="D10" s="50"/>
      <c r="E10" s="50"/>
      <c r="F10" s="50"/>
    </row>
    <row r="11" spans="1:6" ht="18.75">
      <c r="A11" s="117" t="s">
        <v>40</v>
      </c>
      <c r="B11" s="103">
        <v>411001</v>
      </c>
      <c r="C11" s="50">
        <v>261700</v>
      </c>
      <c r="D11" s="187">
        <v>182</v>
      </c>
      <c r="E11" s="50">
        <f>2493+6824+302590+222+548+262+182</f>
        <v>313121</v>
      </c>
      <c r="F11" s="50">
        <f>E11-C11</f>
        <v>51421</v>
      </c>
    </row>
    <row r="12" spans="1:6" ht="18.75">
      <c r="A12" s="117" t="s">
        <v>41</v>
      </c>
      <c r="B12" s="103">
        <v>411002</v>
      </c>
      <c r="C12" s="50">
        <v>114000</v>
      </c>
      <c r="D12" s="50">
        <v>3487.91</v>
      </c>
      <c r="E12" s="50">
        <f>37.38+266.08+105.67+11335.93+12342.52+42348.87+33394.58+4450+4562.14+3487.91</f>
        <v>112331.08000000002</v>
      </c>
      <c r="F12" s="50">
        <f>E12-C12</f>
        <v>-1668.9199999999837</v>
      </c>
    </row>
    <row r="13" spans="1:6" ht="18.75">
      <c r="A13" s="117" t="s">
        <v>56</v>
      </c>
      <c r="B13" s="103">
        <v>411003</v>
      </c>
      <c r="C13" s="50">
        <v>12000</v>
      </c>
      <c r="D13" s="185">
        <v>0</v>
      </c>
      <c r="E13" s="50">
        <f>13557</f>
        <v>13557</v>
      </c>
      <c r="F13" s="50">
        <f>E13-C13</f>
        <v>1557</v>
      </c>
    </row>
    <row r="14" spans="1:6" ht="19.5" thickBot="1">
      <c r="A14" s="118" t="s">
        <v>19</v>
      </c>
      <c r="B14" s="2"/>
      <c r="C14" s="105">
        <f>SUM(C11:C13)</f>
        <v>387700</v>
      </c>
      <c r="D14" s="105">
        <f>SUM(D11:D13)</f>
        <v>3669.91</v>
      </c>
      <c r="E14" s="105">
        <f>SUM(E11:E13)</f>
        <v>439009.08</v>
      </c>
      <c r="F14" s="105">
        <f>SUM(F11:F13)</f>
        <v>51309.080000000016</v>
      </c>
    </row>
    <row r="15" spans="1:6" ht="19.5" thickTop="1">
      <c r="A15" s="119" t="s">
        <v>42</v>
      </c>
      <c r="B15" s="100" t="s">
        <v>349</v>
      </c>
      <c r="C15" s="50"/>
      <c r="D15" s="50"/>
      <c r="E15" s="50"/>
      <c r="F15" s="50"/>
    </row>
    <row r="16" spans="1:6" ht="18.75">
      <c r="A16" s="222" t="s">
        <v>404</v>
      </c>
      <c r="B16" s="9" t="s">
        <v>405</v>
      </c>
      <c r="C16" s="50">
        <v>1300</v>
      </c>
      <c r="D16" s="50">
        <v>0</v>
      </c>
      <c r="E16" s="50">
        <f>19.4+19.4+1164+38.8+58.2</f>
        <v>1299.8</v>
      </c>
      <c r="F16" s="50">
        <f>E16-C16</f>
        <v>-0.20000000000004547</v>
      </c>
    </row>
    <row r="17" spans="1:6" ht="18.75">
      <c r="A17" s="117" t="s">
        <v>43</v>
      </c>
      <c r="B17" s="103">
        <v>412106</v>
      </c>
      <c r="C17" s="50">
        <v>1600</v>
      </c>
      <c r="D17" s="50">
        <v>419</v>
      </c>
      <c r="E17" s="50">
        <f>52+275+44+547+320+157+75+179+419</f>
        <v>2068</v>
      </c>
      <c r="F17" s="50">
        <f aca="true" t="shared" si="0" ref="F17:F25">E17-C17</f>
        <v>468</v>
      </c>
    </row>
    <row r="18" spans="1:6" ht="18.75">
      <c r="A18" s="117" t="s">
        <v>356</v>
      </c>
      <c r="B18" s="103">
        <v>412111</v>
      </c>
      <c r="C18" s="50">
        <v>150</v>
      </c>
      <c r="D18" s="187">
        <v>0</v>
      </c>
      <c r="E18" s="50">
        <f>20+30+10</f>
        <v>60</v>
      </c>
      <c r="F18" s="50">
        <f t="shared" si="0"/>
        <v>-90</v>
      </c>
    </row>
    <row r="19" spans="1:6" ht="18.75">
      <c r="A19" s="117" t="s">
        <v>78</v>
      </c>
      <c r="B19" s="103">
        <v>412128</v>
      </c>
      <c r="C19" s="50">
        <v>300</v>
      </c>
      <c r="D19" s="50">
        <v>0</v>
      </c>
      <c r="E19" s="50">
        <f>150+70</f>
        <v>220</v>
      </c>
      <c r="F19" s="50">
        <f t="shared" si="0"/>
        <v>-80</v>
      </c>
    </row>
    <row r="20" spans="1:6" ht="18.75">
      <c r="A20" s="117" t="s">
        <v>132</v>
      </c>
      <c r="B20" s="5" t="s">
        <v>357</v>
      </c>
      <c r="C20" s="50">
        <v>82000</v>
      </c>
      <c r="D20" s="50">
        <v>0</v>
      </c>
      <c r="E20" s="50">
        <f>1200+30600+2242+200</f>
        <v>34242</v>
      </c>
      <c r="F20" s="50">
        <f t="shared" si="0"/>
        <v>-47758</v>
      </c>
    </row>
    <row r="21" spans="1:6" ht="18.75">
      <c r="A21" s="117" t="s">
        <v>133</v>
      </c>
      <c r="B21" s="5" t="s">
        <v>358</v>
      </c>
      <c r="C21" s="50">
        <v>4000</v>
      </c>
      <c r="D21" s="187">
        <v>0</v>
      </c>
      <c r="E21" s="50">
        <f>5000</f>
        <v>5000</v>
      </c>
      <c r="F21" s="50">
        <f t="shared" si="0"/>
        <v>1000</v>
      </c>
    </row>
    <row r="22" spans="1:6" ht="18.75">
      <c r="A22" s="117" t="s">
        <v>359</v>
      </c>
      <c r="B22" s="5" t="s">
        <v>360</v>
      </c>
      <c r="C22" s="50">
        <v>60000</v>
      </c>
      <c r="D22" s="50">
        <v>120</v>
      </c>
      <c r="E22" s="50">
        <f>900+1100+54900+100+620+200+120</f>
        <v>57940</v>
      </c>
      <c r="F22" s="50">
        <f t="shared" si="0"/>
        <v>-2060</v>
      </c>
    </row>
    <row r="23" spans="1:6" ht="18.75">
      <c r="A23" s="117" t="s">
        <v>134</v>
      </c>
      <c r="B23" s="5" t="s">
        <v>361</v>
      </c>
      <c r="C23" s="50">
        <v>17000</v>
      </c>
      <c r="D23" s="50">
        <v>2880</v>
      </c>
      <c r="E23" s="50">
        <f>2170+1060+1540+1920+2370+1920+1060+1590+2880</f>
        <v>16510</v>
      </c>
      <c r="F23" s="50">
        <f t="shared" si="0"/>
        <v>-490</v>
      </c>
    </row>
    <row r="24" spans="1:6" ht="18.75">
      <c r="A24" s="117" t="s">
        <v>135</v>
      </c>
      <c r="B24" s="5" t="s">
        <v>362</v>
      </c>
      <c r="C24" s="50">
        <v>400</v>
      </c>
      <c r="D24" s="50">
        <v>100</v>
      </c>
      <c r="E24" s="50">
        <f>20+100+20+80+100+40+20+60+100</f>
        <v>540</v>
      </c>
      <c r="F24" s="50">
        <f t="shared" si="0"/>
        <v>140</v>
      </c>
    </row>
    <row r="25" spans="1:6" ht="19.5" thickBot="1">
      <c r="A25" s="118" t="s">
        <v>19</v>
      </c>
      <c r="B25" s="106"/>
      <c r="C25" s="105">
        <f>SUM(C16:C24)</f>
        <v>166750</v>
      </c>
      <c r="D25" s="105">
        <f>SUM(D16:D24)</f>
        <v>3519</v>
      </c>
      <c r="E25" s="105">
        <f>SUM(E16:E24)</f>
        <v>117879.8</v>
      </c>
      <c r="F25" s="105">
        <f t="shared" si="0"/>
        <v>-48870.2</v>
      </c>
    </row>
    <row r="26" spans="1:6" ht="19.5" thickTop="1">
      <c r="A26" s="120" t="s">
        <v>44</v>
      </c>
      <c r="B26" s="48" t="s">
        <v>350</v>
      </c>
      <c r="C26" s="50"/>
      <c r="D26" s="50"/>
      <c r="E26" s="50"/>
      <c r="F26" s="50"/>
    </row>
    <row r="27" spans="1:6" ht="18.75">
      <c r="A27" s="117" t="s">
        <v>45</v>
      </c>
      <c r="B27" s="5" t="s">
        <v>363</v>
      </c>
      <c r="C27" s="50">
        <v>260000</v>
      </c>
      <c r="D27" s="50">
        <v>44179.96</v>
      </c>
      <c r="E27" s="50">
        <f>6709.96+4845.6+59080.76+6709.96+4845.6+183990.76+6564.1+4687.59+18376.89+44179.96</f>
        <v>339991.18000000005</v>
      </c>
      <c r="F27" s="50">
        <f>E27-C27</f>
        <v>79991.18000000005</v>
      </c>
    </row>
    <row r="28" spans="1:6" ht="19.5" thickBot="1">
      <c r="A28" s="118" t="s">
        <v>19</v>
      </c>
      <c r="B28" s="106"/>
      <c r="C28" s="105">
        <f>SUM(C27)</f>
        <v>260000</v>
      </c>
      <c r="D28" s="105">
        <f>SUM(D27)</f>
        <v>44179.96</v>
      </c>
      <c r="E28" s="105">
        <f>SUM(E27)</f>
        <v>339991.18000000005</v>
      </c>
      <c r="F28" s="105">
        <f>SUM(F27)</f>
        <v>79991.18000000005</v>
      </c>
    </row>
    <row r="29" spans="1:6" ht="19.5" thickTop="1">
      <c r="A29" s="120" t="s">
        <v>46</v>
      </c>
      <c r="B29" s="48" t="s">
        <v>351</v>
      </c>
      <c r="C29" s="50"/>
      <c r="D29" s="50"/>
      <c r="E29" s="50"/>
      <c r="F29" s="50"/>
    </row>
    <row r="30" spans="1:6" ht="18.75">
      <c r="A30" s="117" t="s">
        <v>47</v>
      </c>
      <c r="B30" s="5" t="s">
        <v>364</v>
      </c>
      <c r="C30" s="50">
        <v>100000</v>
      </c>
      <c r="D30" s="107">
        <v>0</v>
      </c>
      <c r="E30" s="50">
        <f>20000+41600+19000+4750+17700+10950</f>
        <v>114000</v>
      </c>
      <c r="F30" s="50">
        <f>E30-C30</f>
        <v>14000</v>
      </c>
    </row>
    <row r="31" spans="1:6" ht="18.75">
      <c r="A31" s="117" t="s">
        <v>79</v>
      </c>
      <c r="B31" s="5" t="s">
        <v>365</v>
      </c>
      <c r="C31" s="50">
        <v>100</v>
      </c>
      <c r="D31" s="187">
        <v>100</v>
      </c>
      <c r="E31" s="50">
        <v>100</v>
      </c>
      <c r="F31" s="50">
        <f>E31-C31</f>
        <v>0</v>
      </c>
    </row>
    <row r="32" spans="1:6" ht="18.75">
      <c r="A32" s="117" t="s">
        <v>80</v>
      </c>
      <c r="B32" s="5" t="s">
        <v>366</v>
      </c>
      <c r="C32" s="50">
        <v>700</v>
      </c>
      <c r="D32" s="107">
        <v>0</v>
      </c>
      <c r="E32" s="50">
        <f>400+100+200+1000</f>
        <v>1700</v>
      </c>
      <c r="F32" s="50">
        <f>E32-C32</f>
        <v>1000</v>
      </c>
    </row>
    <row r="33" spans="1:6" ht="19.5" thickBot="1">
      <c r="A33" s="118" t="s">
        <v>19</v>
      </c>
      <c r="B33" s="5"/>
      <c r="C33" s="105">
        <f>SUM(C30:C32)</f>
        <v>100800</v>
      </c>
      <c r="D33" s="105">
        <f>SUM(D30:D32)</f>
        <v>100</v>
      </c>
      <c r="E33" s="105">
        <f>SUM(E30:E32)</f>
        <v>115800</v>
      </c>
      <c r="F33" s="105">
        <f>SUM(F30:F32)</f>
        <v>15000</v>
      </c>
    </row>
    <row r="34" spans="1:6" ht="19.5" thickTop="1">
      <c r="A34" s="116" t="s">
        <v>77</v>
      </c>
      <c r="B34" s="48" t="s">
        <v>352</v>
      </c>
      <c r="C34" s="50"/>
      <c r="D34" s="50"/>
      <c r="E34" s="50"/>
      <c r="F34" s="50"/>
    </row>
    <row r="35" spans="1:6" ht="18.75">
      <c r="A35" s="117" t="s">
        <v>81</v>
      </c>
      <c r="B35" s="5" t="s">
        <v>367</v>
      </c>
      <c r="C35" s="50">
        <v>500</v>
      </c>
      <c r="D35" s="187">
        <v>0</v>
      </c>
      <c r="E35" s="187">
        <f>310</f>
        <v>310</v>
      </c>
      <c r="F35" s="50">
        <f>E35-C35</f>
        <v>-190</v>
      </c>
    </row>
    <row r="36" spans="1:6" ht="19.5" thickBot="1">
      <c r="A36" s="121" t="s">
        <v>19</v>
      </c>
      <c r="B36" s="108"/>
      <c r="C36" s="105">
        <f>SUM(C35)</f>
        <v>500</v>
      </c>
      <c r="D36" s="186">
        <f>SUM(D35)</f>
        <v>0</v>
      </c>
      <c r="E36" s="186">
        <f>310</f>
        <v>310</v>
      </c>
      <c r="F36" s="105">
        <f>E36-C36</f>
        <v>-190</v>
      </c>
    </row>
    <row r="37" spans="1:6" ht="18.75" customHeight="1" thickTop="1">
      <c r="A37" s="335"/>
      <c r="B37" s="335"/>
      <c r="C37" s="335"/>
      <c r="D37" s="335"/>
      <c r="E37" s="335"/>
      <c r="F37" s="335"/>
    </row>
    <row r="38" spans="1:6" ht="18.75" customHeight="1">
      <c r="A38" s="109"/>
      <c r="B38" s="109"/>
      <c r="C38" s="109"/>
      <c r="D38" s="109"/>
      <c r="E38" s="109"/>
      <c r="F38" s="109"/>
    </row>
    <row r="39" spans="1:6" ht="18.75" customHeight="1">
      <c r="A39" s="109"/>
      <c r="B39" s="109"/>
      <c r="C39" s="109"/>
      <c r="D39" s="109"/>
      <c r="E39" s="109"/>
      <c r="F39" s="109"/>
    </row>
    <row r="40" spans="1:6" ht="18.75" customHeight="1">
      <c r="A40" s="109"/>
      <c r="B40" s="109"/>
      <c r="C40" s="109"/>
      <c r="D40" s="109"/>
      <c r="E40" s="109"/>
      <c r="F40" s="109"/>
    </row>
    <row r="41" spans="1:6" ht="18.75" customHeight="1">
      <c r="A41" s="109"/>
      <c r="B41" s="109"/>
      <c r="C41" s="109"/>
      <c r="D41" s="109"/>
      <c r="E41" s="109"/>
      <c r="F41" s="109"/>
    </row>
    <row r="42" spans="1:6" ht="18.75" customHeight="1">
      <c r="A42" s="109"/>
      <c r="B42" s="109"/>
      <c r="C42" s="109"/>
      <c r="D42" s="109"/>
      <c r="E42" s="109"/>
      <c r="F42" s="109"/>
    </row>
    <row r="43" spans="1:6" ht="18.75" customHeight="1">
      <c r="A43" s="109"/>
      <c r="B43" s="109"/>
      <c r="C43" s="109"/>
      <c r="D43" s="109"/>
      <c r="E43" s="109"/>
      <c r="F43" s="109"/>
    </row>
    <row r="44" spans="1:6" ht="18.75" customHeight="1">
      <c r="A44" s="337" t="s">
        <v>53</v>
      </c>
      <c r="B44" s="337"/>
      <c r="C44" s="337"/>
      <c r="D44" s="337"/>
      <c r="E44" s="337"/>
      <c r="F44" s="337"/>
    </row>
    <row r="45" spans="1:6" ht="18.75">
      <c r="A45" s="331" t="s">
        <v>11</v>
      </c>
      <c r="B45" s="332"/>
      <c r="C45" s="333"/>
      <c r="D45" s="333"/>
      <c r="E45" s="333"/>
      <c r="F45" s="334"/>
    </row>
    <row r="46" spans="1:6" ht="18.75">
      <c r="A46" s="330" t="s">
        <v>24</v>
      </c>
      <c r="B46" s="329" t="s">
        <v>3</v>
      </c>
      <c r="C46" s="329" t="s">
        <v>22</v>
      </c>
      <c r="D46" s="329" t="s">
        <v>508</v>
      </c>
      <c r="E46" s="329" t="s">
        <v>37</v>
      </c>
      <c r="F46" s="101" t="s">
        <v>138</v>
      </c>
    </row>
    <row r="47" spans="1:6" ht="18.75">
      <c r="A47" s="330"/>
      <c r="B47" s="329"/>
      <c r="C47" s="329"/>
      <c r="D47" s="329"/>
      <c r="E47" s="329"/>
      <c r="F47" s="101" t="s">
        <v>22</v>
      </c>
    </row>
    <row r="48" spans="1:6" ht="18.75">
      <c r="A48" s="122" t="s">
        <v>82</v>
      </c>
      <c r="B48" s="104">
        <v>420000</v>
      </c>
      <c r="C48" s="110"/>
      <c r="D48" s="110"/>
      <c r="E48" s="110"/>
      <c r="F48" s="110"/>
    </row>
    <row r="49" spans="1:6" ht="18.75">
      <c r="A49" s="116" t="s">
        <v>48</v>
      </c>
      <c r="B49" s="104">
        <v>421000</v>
      </c>
      <c r="C49" s="50"/>
      <c r="D49" s="50"/>
      <c r="E49" s="50"/>
      <c r="F49" s="50"/>
    </row>
    <row r="50" spans="1:6" ht="18.75">
      <c r="A50" s="117" t="s">
        <v>407</v>
      </c>
      <c r="B50" s="106">
        <v>421001</v>
      </c>
      <c r="C50" s="50">
        <v>124700</v>
      </c>
      <c r="D50" s="50">
        <v>96282.55</v>
      </c>
      <c r="E50" s="50">
        <f>136284.04+218464.46+96282.55</f>
        <v>451031.05</v>
      </c>
      <c r="F50" s="50">
        <f>E50-C50</f>
        <v>326331.05</v>
      </c>
    </row>
    <row r="51" spans="1:6" ht="18.75">
      <c r="A51" s="117" t="s">
        <v>406</v>
      </c>
      <c r="B51" s="103">
        <v>421002</v>
      </c>
      <c r="C51" s="50">
        <v>7000000</v>
      </c>
      <c r="D51" s="50">
        <v>699221.04</v>
      </c>
      <c r="E51" s="50">
        <f>597106.1+629453.45+638781.97+606336.19+584750.76+1333663.38+581548.06+653688.02+699221.04</f>
        <v>6324548.97</v>
      </c>
      <c r="F51" s="50">
        <f>E51-C51</f>
        <v>-675451.0300000003</v>
      </c>
    </row>
    <row r="52" spans="1:6" ht="18.75">
      <c r="A52" s="117" t="s">
        <v>83</v>
      </c>
      <c r="B52" s="103">
        <v>421004</v>
      </c>
      <c r="C52" s="50">
        <v>2500000</v>
      </c>
      <c r="D52" s="50">
        <v>0</v>
      </c>
      <c r="E52" s="50">
        <f>243846.36+338154.18+202379.46+225319.59+273234.47+227056.21+470389.94+238035.33</f>
        <v>2218415.54</v>
      </c>
      <c r="F52" s="50">
        <f aca="true" t="shared" si="1" ref="F52:F58">E52-C52</f>
        <v>-281584.45999999996</v>
      </c>
    </row>
    <row r="53" spans="1:6" ht="18.75">
      <c r="A53" s="117" t="s">
        <v>49</v>
      </c>
      <c r="B53" s="103">
        <v>421005</v>
      </c>
      <c r="C53" s="50">
        <v>125000</v>
      </c>
      <c r="D53" s="187">
        <v>26654.87</v>
      </c>
      <c r="E53" s="50">
        <f>22287.59+29659.92+25468.34+29132.17+26654.87</f>
        <v>133202.88999999998</v>
      </c>
      <c r="F53" s="50">
        <f t="shared" si="1"/>
        <v>8202.889999999985</v>
      </c>
    </row>
    <row r="54" spans="1:6" ht="18.75">
      <c r="A54" s="117" t="s">
        <v>50</v>
      </c>
      <c r="B54" s="103">
        <v>421006</v>
      </c>
      <c r="C54" s="50">
        <v>1320000</v>
      </c>
      <c r="D54" s="50">
        <v>0</v>
      </c>
      <c r="E54" s="50">
        <f>92743.06+94860.59+91845.59+132860.59+104144.31+123901.63+264007.95+77114.36</f>
        <v>981478.08</v>
      </c>
      <c r="F54" s="50">
        <f t="shared" si="1"/>
        <v>-338521.92000000004</v>
      </c>
    </row>
    <row r="55" spans="1:6" ht="18.75">
      <c r="A55" s="117" t="s">
        <v>51</v>
      </c>
      <c r="B55" s="103">
        <v>421007</v>
      </c>
      <c r="C55" s="50">
        <v>1700000</v>
      </c>
      <c r="D55" s="50">
        <v>0</v>
      </c>
      <c r="E55" s="50">
        <f>137419.53+298319.8+109744.85+171951.36+211460.05+172375.68+443555.43+207809.36</f>
        <v>1752636.0599999996</v>
      </c>
      <c r="F55" s="50">
        <f t="shared" si="1"/>
        <v>52636.05999999959</v>
      </c>
    </row>
    <row r="56" spans="1:6" ht="18.75">
      <c r="A56" s="117" t="s">
        <v>84</v>
      </c>
      <c r="B56" s="103">
        <v>421012</v>
      </c>
      <c r="C56" s="50">
        <v>15000</v>
      </c>
      <c r="D56" s="187">
        <v>12762.44</v>
      </c>
      <c r="E56" s="50">
        <f>15352.9+12582.97+12762.44</f>
        <v>40698.31</v>
      </c>
      <c r="F56" s="50">
        <f t="shared" si="1"/>
        <v>25698.309999999998</v>
      </c>
    </row>
    <row r="57" spans="1:6" ht="18.75">
      <c r="A57" s="117" t="s">
        <v>85</v>
      </c>
      <c r="B57" s="103">
        <v>421013</v>
      </c>
      <c r="C57" s="50">
        <v>73000</v>
      </c>
      <c r="D57" s="187">
        <v>0</v>
      </c>
      <c r="E57" s="50">
        <f>22045.19+18770.92+15531.48</f>
        <v>56347.59</v>
      </c>
      <c r="F57" s="50">
        <f t="shared" si="1"/>
        <v>-16652.410000000003</v>
      </c>
    </row>
    <row r="58" spans="1:6" ht="18.75">
      <c r="A58" s="117" t="s">
        <v>136</v>
      </c>
      <c r="B58" s="103">
        <v>421015</v>
      </c>
      <c r="C58" s="50">
        <v>350000</v>
      </c>
      <c r="D58" s="50">
        <v>40620</v>
      </c>
      <c r="E58" s="50">
        <f>20975+20836+31655+39983+37602+45068+21466+19286+40620</f>
        <v>277491</v>
      </c>
      <c r="F58" s="50">
        <f t="shared" si="1"/>
        <v>-72509</v>
      </c>
    </row>
    <row r="59" spans="1:6" ht="19.5" thickBot="1">
      <c r="A59" s="118" t="s">
        <v>19</v>
      </c>
      <c r="B59" s="103"/>
      <c r="C59" s="105">
        <f>SUM(C50:C58)</f>
        <v>13207700</v>
      </c>
      <c r="D59" s="105">
        <f>SUM(D50:D58)</f>
        <v>875540.9</v>
      </c>
      <c r="E59" s="105">
        <f>SUM(E50:E58)</f>
        <v>12235849.49</v>
      </c>
      <c r="F59" s="105">
        <f>SUM(F50:F58)</f>
        <v>-971850.5100000006</v>
      </c>
    </row>
    <row r="60" spans="1:6" ht="19.5" thickTop="1">
      <c r="A60" s="123" t="s">
        <v>86</v>
      </c>
      <c r="B60" s="111">
        <v>430000</v>
      </c>
      <c r="C60" s="107"/>
      <c r="D60" s="107"/>
      <c r="E60" s="107"/>
      <c r="F60" s="107"/>
    </row>
    <row r="61" spans="1:6" ht="18.75">
      <c r="A61" s="116" t="s">
        <v>347</v>
      </c>
      <c r="B61" s="111">
        <v>431000</v>
      </c>
      <c r="C61" s="50"/>
      <c r="D61" s="50"/>
      <c r="E61" s="50"/>
      <c r="F61" s="50"/>
    </row>
    <row r="62" spans="1:6" ht="18.75">
      <c r="A62" s="117" t="s">
        <v>87</v>
      </c>
      <c r="B62" s="103">
        <v>431002</v>
      </c>
      <c r="C62" s="50">
        <v>8299400</v>
      </c>
      <c r="D62" s="50">
        <v>853750</v>
      </c>
      <c r="E62" s="50">
        <f>902080+2834237+943080+1620321+892080+853750</f>
        <v>8045548</v>
      </c>
      <c r="F62" s="50">
        <f>E62-C62</f>
        <v>-253852</v>
      </c>
    </row>
    <row r="63" spans="1:6" ht="18.75">
      <c r="A63" s="117" t="s">
        <v>88</v>
      </c>
      <c r="B63" s="103"/>
      <c r="C63" s="50"/>
      <c r="D63" s="50"/>
      <c r="E63" s="50"/>
      <c r="F63" s="50"/>
    </row>
    <row r="64" spans="1:6" ht="19.5" thickBot="1">
      <c r="A64" s="118" t="s">
        <v>19</v>
      </c>
      <c r="B64" s="103"/>
      <c r="C64" s="105">
        <f>SUM(C62)</f>
        <v>8299400</v>
      </c>
      <c r="D64" s="105">
        <f>SUM(D62:D63)</f>
        <v>853750</v>
      </c>
      <c r="E64" s="105">
        <f>SUM(E62:E63)</f>
        <v>8045548</v>
      </c>
      <c r="F64" s="105">
        <f>SUM(F62:F63)</f>
        <v>-253852</v>
      </c>
    </row>
    <row r="65" spans="1:6" ht="19.5" thickTop="1">
      <c r="A65" s="118" t="s">
        <v>52</v>
      </c>
      <c r="B65" s="103"/>
      <c r="C65" s="112">
        <f>C14+C25+C28+C33+C36+C59+C64</f>
        <v>22422850</v>
      </c>
      <c r="D65" s="112">
        <f>SUM(D14,D25,D28,D33,D59,D64,D36)</f>
        <v>1780759.77</v>
      </c>
      <c r="E65" s="112">
        <f>SUM(E14,E25,E28,E33,E59,E64,E36)</f>
        <v>21294387.55</v>
      </c>
      <c r="F65" s="112">
        <f>E65-C65</f>
        <v>-1128462.4499999993</v>
      </c>
    </row>
    <row r="66" spans="1:6" ht="18.75">
      <c r="A66" s="123" t="s">
        <v>509</v>
      </c>
      <c r="B66" s="111">
        <v>440000</v>
      </c>
      <c r="C66" s="107"/>
      <c r="D66" s="107"/>
      <c r="E66" s="107"/>
      <c r="F66" s="107"/>
    </row>
    <row r="67" spans="1:6" ht="18.75">
      <c r="A67" s="116" t="s">
        <v>510</v>
      </c>
      <c r="B67" s="111">
        <v>441000</v>
      </c>
      <c r="C67" s="50"/>
      <c r="D67" s="50"/>
      <c r="E67" s="50"/>
      <c r="F67" s="50"/>
    </row>
    <row r="68" spans="1:6" ht="18.75">
      <c r="A68" s="117" t="s">
        <v>440</v>
      </c>
      <c r="B68" s="103">
        <v>441001</v>
      </c>
      <c r="C68" s="50"/>
      <c r="D68" s="50">
        <v>0</v>
      </c>
      <c r="E68" s="50">
        <f>62685+20895+41790+84305</f>
        <v>209675</v>
      </c>
      <c r="F68" s="50">
        <f>62685+20895+41790+84305</f>
        <v>209675</v>
      </c>
    </row>
    <row r="69" spans="1:6" ht="18.75">
      <c r="A69" s="117" t="s">
        <v>441</v>
      </c>
      <c r="B69" s="103">
        <v>441001</v>
      </c>
      <c r="C69" s="50"/>
      <c r="D69" s="50">
        <v>0</v>
      </c>
      <c r="E69" s="50">
        <f>71400+71400</f>
        <v>142800</v>
      </c>
      <c r="F69" s="50">
        <f>71400+71400</f>
        <v>142800</v>
      </c>
    </row>
    <row r="70" spans="1:6" ht="18.75">
      <c r="A70" s="117" t="s">
        <v>442</v>
      </c>
      <c r="B70" s="103"/>
      <c r="C70" s="50"/>
      <c r="D70" s="50"/>
      <c r="E70" s="50"/>
      <c r="F70" s="50"/>
    </row>
    <row r="71" spans="1:6" ht="18.75">
      <c r="A71" s="117" t="s">
        <v>443</v>
      </c>
      <c r="B71" s="103">
        <v>441001</v>
      </c>
      <c r="C71" s="50"/>
      <c r="D71" s="50">
        <v>0</v>
      </c>
      <c r="E71" s="50">
        <f>291000+329800+465600+155200+143200</f>
        <v>1384800</v>
      </c>
      <c r="F71" s="50">
        <f>291000+329800+465600+155200+143200</f>
        <v>1384800</v>
      </c>
    </row>
    <row r="72" spans="1:6" ht="18.75">
      <c r="A72" s="117" t="s">
        <v>444</v>
      </c>
      <c r="B72" s="103">
        <v>441001</v>
      </c>
      <c r="C72" s="50"/>
      <c r="D72" s="50">
        <v>0</v>
      </c>
      <c r="E72" s="50">
        <f>1049248</f>
        <v>1049248</v>
      </c>
      <c r="F72" s="50">
        <f>1049248</f>
        <v>1049248</v>
      </c>
    </row>
    <row r="73" spans="1:6" ht="18.75">
      <c r="A73" s="117" t="s">
        <v>445</v>
      </c>
      <c r="B73" s="103">
        <v>441001</v>
      </c>
      <c r="C73" s="50"/>
      <c r="D73" s="50">
        <v>1734300</v>
      </c>
      <c r="E73" s="50">
        <f>1770600+590200+590200+1180400+590200+553900+1734300</f>
        <v>7009800</v>
      </c>
      <c r="F73" s="50">
        <f>1770600+590200+590200+1180400+590200+553900+1734300</f>
        <v>7009800</v>
      </c>
    </row>
    <row r="74" spans="1:6" ht="18.75">
      <c r="A74" s="117" t="s">
        <v>489</v>
      </c>
      <c r="B74" s="103">
        <v>441001</v>
      </c>
      <c r="C74" s="50"/>
      <c r="D74" s="50">
        <v>0</v>
      </c>
      <c r="E74" s="50">
        <f>35000</f>
        <v>35000</v>
      </c>
      <c r="F74" s="50">
        <f>35000</f>
        <v>35000</v>
      </c>
    </row>
    <row r="75" spans="1:6" ht="18.75">
      <c r="A75" s="117" t="s">
        <v>490</v>
      </c>
      <c r="B75" s="103"/>
      <c r="C75" s="50"/>
      <c r="D75" s="50"/>
      <c r="E75" s="50"/>
      <c r="F75" s="50"/>
    </row>
    <row r="76" spans="1:6" ht="18.75">
      <c r="A76" s="117" t="s">
        <v>491</v>
      </c>
      <c r="B76" s="103">
        <v>441001</v>
      </c>
      <c r="C76" s="50"/>
      <c r="D76" s="50">
        <v>0</v>
      </c>
      <c r="E76" s="50">
        <f>25000</f>
        <v>25000</v>
      </c>
      <c r="F76" s="50">
        <f>25000</f>
        <v>25000</v>
      </c>
    </row>
    <row r="77" spans="1:6" ht="18.75">
      <c r="A77" s="117" t="s">
        <v>492</v>
      </c>
      <c r="B77" s="103"/>
      <c r="C77" s="50"/>
      <c r="D77" s="50"/>
      <c r="E77" s="50"/>
      <c r="F77" s="50"/>
    </row>
    <row r="78" spans="1:6" ht="18.75">
      <c r="A78" s="117"/>
      <c r="B78" s="103"/>
      <c r="C78" s="50"/>
      <c r="D78" s="50"/>
      <c r="E78" s="50"/>
      <c r="F78" s="50"/>
    </row>
    <row r="79" spans="1:6" ht="19.5" thickBot="1">
      <c r="A79" s="118" t="s">
        <v>19</v>
      </c>
      <c r="B79" s="103"/>
      <c r="C79" s="105">
        <f>SUM(C68)</f>
        <v>0</v>
      </c>
      <c r="D79" s="105">
        <f>SUM(D68:D76)</f>
        <v>1734300</v>
      </c>
      <c r="E79" s="105">
        <f>SUM(E68:E76)</f>
        <v>9856323</v>
      </c>
      <c r="F79" s="105">
        <f>SUM(F68:F76)</f>
        <v>9856323</v>
      </c>
    </row>
    <row r="80" ht="18" thickTop="1"/>
  </sheetData>
  <sheetProtection/>
  <mergeCells count="19">
    <mergeCell ref="A1:F1"/>
    <mergeCell ref="A2:F2"/>
    <mergeCell ref="A5:F5"/>
    <mergeCell ref="A6:F6"/>
    <mergeCell ref="E46:E47"/>
    <mergeCell ref="A44:F44"/>
    <mergeCell ref="A46:A47"/>
    <mergeCell ref="B46:B47"/>
    <mergeCell ref="C46:C47"/>
    <mergeCell ref="D46:D47"/>
    <mergeCell ref="A3:F3"/>
    <mergeCell ref="A4:F4"/>
    <mergeCell ref="D7:D8"/>
    <mergeCell ref="E7:E8"/>
    <mergeCell ref="A7:A8"/>
    <mergeCell ref="A45:F45"/>
    <mergeCell ref="A37:F37"/>
    <mergeCell ref="B7:B8"/>
    <mergeCell ref="C7:C8"/>
  </mergeCells>
  <printOptions/>
  <pageMargins left="0.3937007874015748" right="0.11811023622047245" top="0.5511811023622047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16">
      <selection activeCell="A23" sqref="A23"/>
    </sheetView>
  </sheetViews>
  <sheetFormatPr defaultColWidth="9.140625" defaultRowHeight="18" customHeight="1"/>
  <cols>
    <col min="1" max="1" width="60.28125" style="23" customWidth="1"/>
    <col min="2" max="2" width="16.57421875" style="27" customWidth="1"/>
    <col min="3" max="3" width="17.28125" style="27" customWidth="1"/>
    <col min="4" max="16384" width="9.140625" style="23" customWidth="1"/>
  </cols>
  <sheetData>
    <row r="1" spans="1:3" ht="18" customHeight="1">
      <c r="A1" s="304" t="s">
        <v>57</v>
      </c>
      <c r="B1" s="304"/>
      <c r="C1" s="304"/>
    </row>
    <row r="2" spans="1:3" ht="18" customHeight="1">
      <c r="A2" s="304" t="s">
        <v>58</v>
      </c>
      <c r="B2" s="304"/>
      <c r="C2" s="304"/>
    </row>
    <row r="3" spans="1:3" ht="18" customHeight="1">
      <c r="A3" s="340" t="s">
        <v>585</v>
      </c>
      <c r="B3" s="340"/>
      <c r="C3" s="340"/>
    </row>
    <row r="4" spans="1:3" ht="18" customHeight="1">
      <c r="A4" s="18" t="s">
        <v>24</v>
      </c>
      <c r="B4" s="18" t="s">
        <v>27</v>
      </c>
      <c r="C4" s="18" t="s">
        <v>59</v>
      </c>
    </row>
    <row r="5" spans="1:3" ht="18" customHeight="1">
      <c r="A5" s="25" t="s">
        <v>11</v>
      </c>
      <c r="B5" s="19"/>
      <c r="C5" s="19"/>
    </row>
    <row r="6" spans="1:3" ht="18" customHeight="1">
      <c r="A6" s="21" t="s">
        <v>125</v>
      </c>
      <c r="B6" s="20">
        <v>927009.77</v>
      </c>
      <c r="C6" s="20">
        <f>1280628.02+1390022.29+485925.73+2274282.14+1291128.94+1790511.25+1448720.74+2070307.57+1233383.1+927009.77</f>
        <v>14191919.549999999</v>
      </c>
    </row>
    <row r="7" spans="1:3" ht="18" customHeight="1">
      <c r="A7" s="21" t="s">
        <v>454</v>
      </c>
      <c r="B7" s="20">
        <v>853750</v>
      </c>
      <c r="C7" s="20">
        <f>902080+2834237+1620321+892080+853750</f>
        <v>7102468</v>
      </c>
    </row>
    <row r="8" spans="1:3" ht="18" customHeight="1">
      <c r="A8" s="21" t="s">
        <v>455</v>
      </c>
      <c r="B8" s="20">
        <v>1734300</v>
      </c>
      <c r="C8" s="20">
        <f>3244933+920000+590200+20895+1747790+155705+746200+697100+1734300</f>
        <v>9857123</v>
      </c>
    </row>
    <row r="9" spans="1:3" ht="18" customHeight="1">
      <c r="A9" s="21" t="s">
        <v>60</v>
      </c>
      <c r="B9" s="20">
        <v>83656.87</v>
      </c>
      <c r="C9" s="20">
        <f>329439.05+116317.61+21846.58+93486.71+36288.35+45772.03+56478.57+48795.4+53942.32+83656.87</f>
        <v>886023.4899999999</v>
      </c>
    </row>
    <row r="10" spans="1:3" ht="18" customHeight="1">
      <c r="A10" s="21" t="s">
        <v>426</v>
      </c>
      <c r="B10" s="20">
        <v>513600</v>
      </c>
      <c r="C10" s="20">
        <f>26532.93+1672471.81+155075.65+181077.43+234784.98+1148544.01+32000+767700+596172.02+513600</f>
        <v>5327958.83</v>
      </c>
    </row>
    <row r="11" spans="1:3" ht="18" customHeight="1">
      <c r="A11" s="21" t="s">
        <v>483</v>
      </c>
      <c r="B11" s="20">
        <v>350</v>
      </c>
      <c r="C11" s="20">
        <f>28000+23544+2458.2+800+350</f>
        <v>55152.2</v>
      </c>
    </row>
    <row r="12" spans="1:3" ht="18" customHeight="1" thickBot="1">
      <c r="A12" s="22" t="s">
        <v>19</v>
      </c>
      <c r="B12" s="24">
        <f>SUM(B6:B11)</f>
        <v>4112666.64</v>
      </c>
      <c r="C12" s="24">
        <f>SUM(C6:C11)</f>
        <v>37420645.07</v>
      </c>
    </row>
    <row r="13" spans="1:3" ht="18" customHeight="1" thickTop="1">
      <c r="A13" s="26" t="s">
        <v>33</v>
      </c>
      <c r="B13" s="51"/>
      <c r="C13" s="20"/>
    </row>
    <row r="14" spans="1:3" ht="18" customHeight="1">
      <c r="A14" s="21" t="s">
        <v>427</v>
      </c>
      <c r="B14" s="16">
        <v>1597298.99</v>
      </c>
      <c r="C14" s="20">
        <f>1046430.57+1370346.75+1090944.3+1397657.56+1649660+1289317.46+1259727.29+1092676.17+1806657.08</f>
        <v>12003417.18</v>
      </c>
    </row>
    <row r="15" spans="1:3" ht="18" customHeight="1">
      <c r="A15" s="21" t="s">
        <v>428</v>
      </c>
      <c r="B15" s="16">
        <v>589600</v>
      </c>
      <c r="C15" s="20">
        <f>773300+1002400+97000+184000+669258+773100+32000+775200+598700</f>
        <v>4904958</v>
      </c>
    </row>
    <row r="16" spans="1:3" ht="18" customHeight="1">
      <c r="A16" s="21" t="s">
        <v>61</v>
      </c>
      <c r="B16" s="20">
        <v>22855.78</v>
      </c>
      <c r="C16" s="20">
        <f>41839.36+323778.5+863259.9+22706.89+75710.85+71461.99+55857.15+46969.4+66331.48</f>
        <v>1567915.5199999998</v>
      </c>
    </row>
    <row r="17" spans="1:3" ht="18" customHeight="1">
      <c r="A17" s="21" t="s">
        <v>456</v>
      </c>
      <c r="B17" s="20">
        <v>687950</v>
      </c>
      <c r="C17" s="20">
        <f>1387600+690800+689400+810600+983035+754105+1414550+740850</f>
        <v>7470940</v>
      </c>
    </row>
    <row r="18" spans="1:3" ht="18" customHeight="1">
      <c r="A18" s="21" t="s">
        <v>471</v>
      </c>
      <c r="B18" s="20">
        <v>1060900</v>
      </c>
      <c r="C18" s="20">
        <f>99180+2342000+369000+118000+111600</f>
        <v>3039780</v>
      </c>
    </row>
    <row r="19" spans="1:3" ht="18" customHeight="1">
      <c r="A19" s="21" t="s">
        <v>126</v>
      </c>
      <c r="B19" s="20">
        <v>0</v>
      </c>
      <c r="C19" s="20">
        <f>1426375.52+340000</f>
        <v>1766375.52</v>
      </c>
    </row>
    <row r="20" spans="1:3" ht="18" customHeight="1">
      <c r="A20" s="21" t="s">
        <v>484</v>
      </c>
      <c r="B20" s="20">
        <v>350</v>
      </c>
      <c r="C20" s="20">
        <f>28000+23544+2458.2+800</f>
        <v>54802.2</v>
      </c>
    </row>
    <row r="21" spans="1:3" ht="18" customHeight="1" thickBot="1">
      <c r="A21" s="22" t="s">
        <v>19</v>
      </c>
      <c r="B21" s="24">
        <f>SUM(B14:B20)</f>
        <v>3958954.77</v>
      </c>
      <c r="C21" s="24">
        <f>SUM(C14:C20)</f>
        <v>30808188.419999998</v>
      </c>
    </row>
    <row r="22" spans="1:3" ht="18" customHeight="1" thickBot="1" thickTop="1">
      <c r="A22" s="22" t="s">
        <v>62</v>
      </c>
      <c r="B22" s="24">
        <f>B12-B21</f>
        <v>153711.8700000001</v>
      </c>
      <c r="C22" s="24">
        <f>C12-C21</f>
        <v>6612456.650000002</v>
      </c>
    </row>
    <row r="23" spans="1:3" ht="18" customHeight="1" thickTop="1">
      <c r="A23" s="212"/>
      <c r="B23" s="213"/>
      <c r="C23" s="213"/>
    </row>
    <row r="24" spans="1:5" ht="18" customHeight="1">
      <c r="A24" s="2" t="s">
        <v>12</v>
      </c>
      <c r="B24" s="9"/>
      <c r="C24" s="15"/>
      <c r="D24" s="15"/>
      <c r="E24" s="15"/>
    </row>
    <row r="25" spans="1:5" ht="18" customHeight="1">
      <c r="A25" s="17" t="s">
        <v>13</v>
      </c>
      <c r="B25" s="9"/>
      <c r="C25" s="15"/>
      <c r="D25" s="15"/>
      <c r="E25" s="14"/>
    </row>
    <row r="26" spans="1:5" ht="18" customHeight="1">
      <c r="A26" s="17"/>
      <c r="B26" s="9"/>
      <c r="C26" s="15"/>
      <c r="D26" s="15"/>
      <c r="E26" s="14"/>
    </row>
    <row r="27" spans="1:5" ht="18" customHeight="1">
      <c r="A27" s="339" t="s">
        <v>63</v>
      </c>
      <c r="B27" s="339"/>
      <c r="C27" s="339"/>
      <c r="D27" s="10"/>
      <c r="E27" s="10"/>
    </row>
    <row r="28" spans="1:5" ht="18" customHeight="1">
      <c r="A28" s="339" t="s">
        <v>92</v>
      </c>
      <c r="B28" s="339"/>
      <c r="C28" s="339"/>
      <c r="D28" s="10"/>
      <c r="E28" s="10"/>
    </row>
    <row r="29" spans="1:5" ht="18" customHeight="1">
      <c r="A29" s="339" t="s">
        <v>14</v>
      </c>
      <c r="B29" s="339"/>
      <c r="C29" s="339"/>
      <c r="D29" s="10"/>
      <c r="E29" s="10"/>
    </row>
    <row r="30" spans="1:5" ht="18" customHeight="1">
      <c r="A30" s="2"/>
      <c r="B30" s="9"/>
      <c r="C30" s="15"/>
      <c r="D30" s="15"/>
      <c r="E30" s="2"/>
    </row>
    <row r="31" spans="1:5" s="1" customFormat="1" ht="18" customHeight="1">
      <c r="A31" s="339" t="s">
        <v>127</v>
      </c>
      <c r="B31" s="339"/>
      <c r="C31" s="339"/>
      <c r="D31" s="10"/>
      <c r="E31" s="10"/>
    </row>
    <row r="32" spans="1:5" s="1" customFormat="1" ht="18" customHeight="1">
      <c r="A32" s="339" t="s">
        <v>15</v>
      </c>
      <c r="B32" s="339"/>
      <c r="C32" s="339"/>
      <c r="D32" s="10"/>
      <c r="E32" s="10"/>
    </row>
    <row r="33" spans="1:5" s="1" customFormat="1" ht="18" customHeight="1">
      <c r="A33" s="338">
        <v>240543</v>
      </c>
      <c r="B33" s="338"/>
      <c r="C33" s="338"/>
      <c r="D33" s="10"/>
      <c r="E33" s="10"/>
    </row>
  </sheetData>
  <sheetProtection/>
  <mergeCells count="9">
    <mergeCell ref="A33:C33"/>
    <mergeCell ref="A28:C28"/>
    <mergeCell ref="A29:C29"/>
    <mergeCell ref="A31:C31"/>
    <mergeCell ref="A32:C32"/>
    <mergeCell ref="A1:C1"/>
    <mergeCell ref="A2:C2"/>
    <mergeCell ref="A3:C3"/>
    <mergeCell ref="A27:C2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SheetLayoutView="100" zoomScalePageLayoutView="0" workbookViewId="0" topLeftCell="A16">
      <selection activeCell="C12" sqref="C12"/>
    </sheetView>
  </sheetViews>
  <sheetFormatPr defaultColWidth="9.140625" defaultRowHeight="12.75"/>
  <cols>
    <col min="1" max="1" width="11.421875" style="59" customWidth="1"/>
    <col min="2" max="2" width="7.7109375" style="23" customWidth="1"/>
    <col min="3" max="3" width="9.7109375" style="59" customWidth="1"/>
    <col min="4" max="5" width="6.7109375" style="23" customWidth="1"/>
    <col min="6" max="6" width="11.28125" style="23" customWidth="1"/>
    <col min="7" max="8" width="7.7109375" style="23" customWidth="1"/>
    <col min="9" max="9" width="7.57421875" style="23" customWidth="1"/>
    <col min="10" max="10" width="20.140625" style="23" customWidth="1"/>
    <col min="11" max="16384" width="9.140625" style="23" customWidth="1"/>
  </cols>
  <sheetData>
    <row r="1" spans="1:10" ht="23.25">
      <c r="A1" s="52"/>
      <c r="B1" s="28"/>
      <c r="C1" s="52"/>
      <c r="D1" s="28"/>
      <c r="E1" s="28"/>
      <c r="F1" s="28"/>
      <c r="G1" s="60"/>
      <c r="H1" s="28"/>
      <c r="I1" s="28"/>
      <c r="J1" s="29"/>
    </row>
    <row r="2" spans="1:10" ht="23.25">
      <c r="A2" s="349" t="s">
        <v>64</v>
      </c>
      <c r="B2" s="349"/>
      <c r="C2" s="349"/>
      <c r="D2" s="349"/>
      <c r="E2" s="349"/>
      <c r="F2" s="349"/>
      <c r="G2" s="350" t="s">
        <v>495</v>
      </c>
      <c r="H2" s="349"/>
      <c r="I2" s="349"/>
      <c r="J2" s="349"/>
    </row>
    <row r="3" spans="1:10" ht="23.25">
      <c r="A3" s="349" t="s">
        <v>66</v>
      </c>
      <c r="B3" s="349"/>
      <c r="C3" s="349"/>
      <c r="D3" s="349"/>
      <c r="E3" s="349"/>
      <c r="F3" s="349"/>
      <c r="G3" s="350" t="s">
        <v>496</v>
      </c>
      <c r="H3" s="349"/>
      <c r="I3" s="349"/>
      <c r="J3" s="349"/>
    </row>
    <row r="4" spans="1:10" ht="23.25">
      <c r="A4" s="53"/>
      <c r="B4" s="30"/>
      <c r="C4" s="53"/>
      <c r="D4" s="30"/>
      <c r="E4" s="30"/>
      <c r="F4" s="30"/>
      <c r="G4" s="61"/>
      <c r="H4" s="30"/>
      <c r="I4" s="30"/>
      <c r="J4" s="30"/>
    </row>
    <row r="5" spans="1:10" ht="23.25">
      <c r="A5" s="344" t="s">
        <v>550</v>
      </c>
      <c r="B5" s="344"/>
      <c r="C5" s="344"/>
      <c r="D5" s="344"/>
      <c r="E5" s="344"/>
      <c r="F5" s="351"/>
      <c r="G5" s="31"/>
      <c r="H5" s="31"/>
      <c r="I5" s="31"/>
      <c r="J5" s="32"/>
    </row>
    <row r="6" spans="1:10" ht="23.25">
      <c r="A6" s="54"/>
      <c r="B6" s="33"/>
      <c r="C6" s="54"/>
      <c r="D6" s="33"/>
      <c r="E6" s="33"/>
      <c r="F6" s="34"/>
      <c r="G6" s="31"/>
      <c r="H6" s="31"/>
      <c r="I6" s="31"/>
      <c r="J6" s="32"/>
    </row>
    <row r="7" spans="1:10" ht="23.25">
      <c r="A7" s="54"/>
      <c r="B7" s="33"/>
      <c r="C7" s="54"/>
      <c r="D7" s="33"/>
      <c r="E7" s="33"/>
      <c r="F7" s="34"/>
      <c r="G7" s="31"/>
      <c r="H7" s="31"/>
      <c r="I7" s="31"/>
      <c r="J7" s="32"/>
    </row>
    <row r="8" spans="1:10" ht="23.25">
      <c r="A8" s="341" t="s">
        <v>497</v>
      </c>
      <c r="B8" s="352"/>
      <c r="C8" s="352"/>
      <c r="D8" s="352"/>
      <c r="E8" s="352"/>
      <c r="F8" s="34"/>
      <c r="G8" s="31"/>
      <c r="H8" s="31"/>
      <c r="I8" s="31"/>
      <c r="J8" s="32"/>
    </row>
    <row r="9" spans="1:10" ht="23.25">
      <c r="A9" s="56" t="s">
        <v>68</v>
      </c>
      <c r="B9" s="35"/>
      <c r="C9" s="56"/>
      <c r="D9" s="35"/>
      <c r="E9" s="35"/>
      <c r="F9" s="36" t="s">
        <v>70</v>
      </c>
      <c r="G9" s="31"/>
      <c r="H9" s="31"/>
      <c r="I9" s="31"/>
      <c r="J9" s="32"/>
    </row>
    <row r="10" spans="1:10" ht="23.25">
      <c r="A10" s="56"/>
      <c r="B10" s="35"/>
      <c r="C10" s="56"/>
      <c r="D10" s="35"/>
      <c r="E10" s="35"/>
      <c r="F10" s="36"/>
      <c r="G10" s="31"/>
      <c r="H10" s="31"/>
      <c r="I10" s="31"/>
      <c r="J10" s="32"/>
    </row>
    <row r="11" spans="1:10" ht="23.25">
      <c r="A11" s="56"/>
      <c r="B11" s="35"/>
      <c r="C11" s="56"/>
      <c r="D11" s="35"/>
      <c r="E11" s="35"/>
      <c r="F11" s="36"/>
      <c r="G11" s="31"/>
      <c r="H11" s="31"/>
      <c r="I11" s="31"/>
      <c r="J11" s="32"/>
    </row>
    <row r="12" spans="1:10" ht="23.25">
      <c r="A12" s="56"/>
      <c r="B12" s="35"/>
      <c r="C12" s="56"/>
      <c r="D12" s="35"/>
      <c r="E12" s="35"/>
      <c r="F12" s="37"/>
      <c r="G12" s="31"/>
      <c r="H12" s="31"/>
      <c r="I12" s="31"/>
      <c r="J12" s="38"/>
    </row>
    <row r="13" spans="1:10" ht="23.25">
      <c r="A13" s="56"/>
      <c r="B13" s="35"/>
      <c r="C13" s="56"/>
      <c r="D13" s="35"/>
      <c r="E13" s="35"/>
      <c r="F13" s="37"/>
      <c r="G13" s="31"/>
      <c r="H13" s="31"/>
      <c r="I13" s="31"/>
      <c r="J13" s="37"/>
    </row>
    <row r="14" spans="1:10" ht="23.25">
      <c r="A14" s="56"/>
      <c r="B14" s="35"/>
      <c r="C14" s="56"/>
      <c r="D14" s="35"/>
      <c r="E14" s="35"/>
      <c r="F14" s="37"/>
      <c r="G14" s="31"/>
      <c r="H14" s="31"/>
      <c r="I14" s="31"/>
      <c r="J14" s="32"/>
    </row>
    <row r="15" spans="1:10" ht="23.25">
      <c r="A15" s="56"/>
      <c r="B15" s="35"/>
      <c r="C15" s="56"/>
      <c r="D15" s="35"/>
      <c r="E15" s="35"/>
      <c r="F15" s="37"/>
      <c r="G15" s="31"/>
      <c r="H15" s="31"/>
      <c r="I15" s="31"/>
      <c r="J15" s="32"/>
    </row>
    <row r="16" spans="1:10" ht="23.25">
      <c r="A16" s="56"/>
      <c r="B16" s="35"/>
      <c r="C16" s="56"/>
      <c r="D16" s="35"/>
      <c r="E16" s="35"/>
      <c r="F16" s="37"/>
      <c r="G16" s="31"/>
      <c r="H16" s="31"/>
      <c r="I16" s="31"/>
      <c r="J16" s="32"/>
    </row>
    <row r="17" spans="1:10" ht="23.25">
      <c r="A17" s="56"/>
      <c r="B17" s="35"/>
      <c r="C17" s="56"/>
      <c r="D17" s="35"/>
      <c r="E17" s="35"/>
      <c r="F17" s="37"/>
      <c r="G17" s="31"/>
      <c r="H17" s="31"/>
      <c r="I17" s="31"/>
      <c r="J17" s="32"/>
    </row>
    <row r="18" spans="1:10" ht="23.25">
      <c r="A18" s="56"/>
      <c r="B18" s="35"/>
      <c r="C18" s="56"/>
      <c r="D18" s="35"/>
      <c r="E18" s="35"/>
      <c r="F18" s="37"/>
      <c r="G18" s="31"/>
      <c r="H18" s="31"/>
      <c r="I18" s="31"/>
      <c r="J18" s="32"/>
    </row>
    <row r="19" spans="1:10" ht="23.25">
      <c r="A19" s="55"/>
      <c r="B19" s="35"/>
      <c r="C19" s="56"/>
      <c r="D19" s="35"/>
      <c r="E19" s="35"/>
      <c r="F19" s="37"/>
      <c r="G19" s="31"/>
      <c r="H19" s="31"/>
      <c r="I19" s="31"/>
      <c r="J19" s="188"/>
    </row>
    <row r="20" spans="1:10" ht="23.25">
      <c r="A20" s="35"/>
      <c r="B20" s="35"/>
      <c r="C20" s="56"/>
      <c r="D20" s="35"/>
      <c r="E20" s="35"/>
      <c r="F20" s="188"/>
      <c r="G20" s="31"/>
      <c r="H20" s="31"/>
      <c r="I20" s="31"/>
      <c r="J20" s="188"/>
    </row>
    <row r="21" spans="1:10" ht="23.25">
      <c r="A21" s="35"/>
      <c r="B21" s="35"/>
      <c r="C21" s="56"/>
      <c r="D21" s="35"/>
      <c r="E21" s="35"/>
      <c r="F21" s="188"/>
      <c r="G21" s="31"/>
      <c r="H21" s="31"/>
      <c r="I21" s="31"/>
      <c r="J21" s="32"/>
    </row>
    <row r="22" spans="1:10" ht="23.25">
      <c r="A22" s="55"/>
      <c r="B22" s="35"/>
      <c r="C22" s="56"/>
      <c r="D22" s="35"/>
      <c r="E22" s="35"/>
      <c r="F22" s="37"/>
      <c r="G22" s="31"/>
      <c r="H22" s="31"/>
      <c r="I22" s="31"/>
      <c r="J22" s="32"/>
    </row>
    <row r="23" spans="1:10" ht="23.25">
      <c r="A23" s="55"/>
      <c r="B23" s="35"/>
      <c r="C23" s="56"/>
      <c r="D23" s="35"/>
      <c r="E23" s="35"/>
      <c r="F23" s="37"/>
      <c r="G23" s="31"/>
      <c r="H23" s="31"/>
      <c r="I23" s="31"/>
      <c r="J23" s="32"/>
    </row>
    <row r="24" spans="1:10" ht="23.25">
      <c r="A24" s="55"/>
      <c r="B24" s="35"/>
      <c r="C24" s="56"/>
      <c r="D24" s="35"/>
      <c r="E24" s="35"/>
      <c r="F24" s="37"/>
      <c r="G24" s="31"/>
      <c r="H24" s="31"/>
      <c r="I24" s="31"/>
      <c r="J24" s="32"/>
    </row>
    <row r="25" spans="1:10" ht="23.25">
      <c r="A25" s="341" t="s">
        <v>551</v>
      </c>
      <c r="B25" s="341"/>
      <c r="C25" s="341"/>
      <c r="D25" s="341"/>
      <c r="E25" s="341"/>
      <c r="F25" s="342"/>
      <c r="G25" s="31"/>
      <c r="H25" s="31"/>
      <c r="I25" s="31"/>
      <c r="J25" s="32">
        <f>SUM(J5-J10)</f>
        <v>0</v>
      </c>
    </row>
    <row r="26" spans="1:10" ht="23.25">
      <c r="A26" s="55"/>
      <c r="B26" s="35"/>
      <c r="C26" s="55"/>
      <c r="D26" s="35"/>
      <c r="E26" s="35"/>
      <c r="F26" s="39"/>
      <c r="G26" s="31"/>
      <c r="H26" s="31"/>
      <c r="I26" s="31"/>
      <c r="J26" s="32"/>
    </row>
    <row r="27" spans="1:10" ht="23.25">
      <c r="A27" s="57" t="s">
        <v>71</v>
      </c>
      <c r="B27" s="40"/>
      <c r="C27" s="57"/>
      <c r="D27" s="40"/>
      <c r="E27" s="40"/>
      <c r="F27" s="41"/>
      <c r="G27" s="343" t="s">
        <v>72</v>
      </c>
      <c r="H27" s="344"/>
      <c r="I27" s="344"/>
      <c r="J27" s="344"/>
    </row>
    <row r="28" spans="1:10" ht="23.25">
      <c r="A28" s="54"/>
      <c r="B28" s="33"/>
      <c r="C28" s="54"/>
      <c r="D28" s="33"/>
      <c r="E28" s="33"/>
      <c r="F28" s="37"/>
      <c r="G28" s="33"/>
      <c r="H28" s="33"/>
      <c r="I28" s="33"/>
      <c r="J28" s="33"/>
    </row>
    <row r="29" spans="1:10" ht="23.25">
      <c r="A29" s="345" t="s">
        <v>552</v>
      </c>
      <c r="B29" s="345"/>
      <c r="C29" s="345"/>
      <c r="D29" s="345"/>
      <c r="E29" s="345"/>
      <c r="F29" s="346"/>
      <c r="G29" s="347" t="s">
        <v>553</v>
      </c>
      <c r="H29" s="348"/>
      <c r="I29" s="348"/>
      <c r="J29" s="348"/>
    </row>
    <row r="30" spans="1:10" ht="23.25">
      <c r="A30" s="348" t="s">
        <v>502</v>
      </c>
      <c r="B30" s="348"/>
      <c r="C30" s="348"/>
      <c r="D30" s="348"/>
      <c r="E30" s="33"/>
      <c r="F30" s="37"/>
      <c r="G30" s="347" t="s">
        <v>501</v>
      </c>
      <c r="H30" s="348"/>
      <c r="I30" s="348"/>
      <c r="J30" s="348"/>
    </row>
    <row r="31" spans="1:10" ht="23.25">
      <c r="A31" s="58"/>
      <c r="B31" s="42"/>
      <c r="C31" s="58"/>
      <c r="D31" s="42"/>
      <c r="E31" s="42"/>
      <c r="F31" s="39"/>
      <c r="G31" s="43"/>
      <c r="H31" s="43"/>
      <c r="I31" s="43"/>
      <c r="J31" s="44"/>
    </row>
    <row r="34" ht="21.75" customHeight="1"/>
    <row r="35" ht="21.75" customHeight="1"/>
  </sheetData>
  <sheetProtection/>
  <mergeCells count="12">
    <mergeCell ref="A2:F2"/>
    <mergeCell ref="G2:J2"/>
    <mergeCell ref="A3:F3"/>
    <mergeCell ref="G3:J3"/>
    <mergeCell ref="A5:F5"/>
    <mergeCell ref="A8:E8"/>
    <mergeCell ref="A25:F25"/>
    <mergeCell ref="G27:J27"/>
    <mergeCell ref="A29:F29"/>
    <mergeCell ref="G29:J29"/>
    <mergeCell ref="A30:D30"/>
    <mergeCell ref="G30:J30"/>
  </mergeCells>
  <printOptions/>
  <pageMargins left="0.43" right="0.28" top="0.35433070866141736" bottom="1.3385826771653544" header="0.1968503937007874" footer="1.338582677165354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TOSHIBA</cp:lastModifiedBy>
  <cp:lastPrinted>2015-08-10T05:29:23Z</cp:lastPrinted>
  <dcterms:created xsi:type="dcterms:W3CDTF">1996-10-14T23:33:28Z</dcterms:created>
  <dcterms:modified xsi:type="dcterms:W3CDTF">2015-08-10T05:56:04Z</dcterms:modified>
  <cp:category/>
  <cp:version/>
  <cp:contentType/>
  <cp:contentStatus/>
</cp:coreProperties>
</file>